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7590" windowWidth="15480" windowHeight="4635" tabRatio="351"/>
  </bookViews>
  <sheets>
    <sheet name="Комплекс 1 " sheetId="29" r:id="rId1"/>
    <sheet name="Комплекс 2" sheetId="31" r:id="rId2"/>
    <sheet name="Оценочная1" sheetId="32" r:id="rId3"/>
    <sheet name="Оценочная2" sheetId="33" r:id="rId4"/>
    <sheet name="Лист1" sheetId="34" r:id="rId5"/>
    <sheet name="Лист2" sheetId="35" r:id="rId6"/>
  </sheets>
  <definedNames>
    <definedName name="_xlnm._FilterDatabase" localSheetId="0" hidden="1">'Комплекс 1 '!$A$4:$S$575</definedName>
    <definedName name="_xlnm._FilterDatabase" localSheetId="1" hidden="1">'Комплекс 2'!$A$4:$S$580</definedName>
    <definedName name="_xlnm.Print_Area" localSheetId="0">'Комплекс 1 '!$A$1:$S$577</definedName>
    <definedName name="_xlnm.Print_Area" localSheetId="1">'Комплекс 2'!$A$1:$S$576</definedName>
  </definedNames>
  <calcPr calcId="145621" refMode="R1C1"/>
</workbook>
</file>

<file path=xl/calcChain.xml><?xml version="1.0" encoding="utf-8"?>
<calcChain xmlns="http://schemas.openxmlformats.org/spreadsheetml/2006/main">
  <c r="O25" i="31" l="1"/>
  <c r="Q25" i="31" s="1"/>
  <c r="M25" i="31"/>
  <c r="L25" i="31"/>
  <c r="N25" i="31" s="1"/>
  <c r="P25" i="31" s="1"/>
  <c r="I25" i="31"/>
  <c r="H25" i="31"/>
  <c r="J25" i="31" s="1"/>
  <c r="G25" i="31"/>
  <c r="F25" i="31"/>
  <c r="E25" i="31"/>
  <c r="D25" i="31"/>
  <c r="Q51" i="31"/>
  <c r="P51" i="31"/>
  <c r="O51" i="31"/>
  <c r="N51" i="31"/>
  <c r="M51" i="31"/>
  <c r="L51" i="31"/>
  <c r="K51" i="31"/>
  <c r="I51" i="31"/>
  <c r="H51" i="31"/>
  <c r="G51" i="31"/>
  <c r="F51" i="31"/>
  <c r="E51" i="31"/>
  <c r="D51" i="31"/>
  <c r="P331" i="31"/>
  <c r="O331" i="31"/>
  <c r="N331" i="31"/>
  <c r="M331" i="31"/>
  <c r="L331" i="31"/>
  <c r="K331" i="31"/>
  <c r="J331" i="31"/>
  <c r="H331" i="31"/>
  <c r="G331" i="31"/>
  <c r="F331" i="31"/>
  <c r="E331" i="31"/>
  <c r="D331" i="31"/>
  <c r="Q47" i="29"/>
  <c r="P47" i="29"/>
  <c r="O47" i="29"/>
  <c r="N47" i="29"/>
  <c r="M47" i="29"/>
  <c r="L47" i="29"/>
  <c r="K47" i="29"/>
  <c r="I47" i="29"/>
  <c r="H47" i="29"/>
  <c r="G47" i="29"/>
  <c r="F47" i="29"/>
  <c r="E47" i="29"/>
  <c r="D47" i="29"/>
  <c r="G44" i="29"/>
  <c r="F44" i="29"/>
  <c r="E44" i="29"/>
  <c r="D44" i="29"/>
  <c r="D24" i="29"/>
  <c r="E24" i="29"/>
  <c r="F24" i="29"/>
  <c r="G24" i="29"/>
  <c r="O24" i="29"/>
  <c r="L24" i="29"/>
  <c r="I24" i="29"/>
  <c r="H24" i="29"/>
  <c r="J24" i="29" s="1"/>
  <c r="D23" i="29"/>
  <c r="I562" i="31"/>
  <c r="H562" i="31"/>
  <c r="I422" i="31"/>
  <c r="H422" i="31"/>
  <c r="I309" i="31"/>
  <c r="H309" i="31"/>
  <c r="I247" i="31"/>
  <c r="H247" i="31"/>
  <c r="I145" i="31"/>
  <c r="H145" i="31"/>
  <c r="I55" i="31"/>
  <c r="H55" i="31"/>
  <c r="I562" i="29"/>
  <c r="H562" i="29"/>
  <c r="I426" i="29"/>
  <c r="H426" i="29"/>
  <c r="I308" i="29"/>
  <c r="H308" i="29"/>
  <c r="I244" i="29"/>
  <c r="H244" i="29"/>
  <c r="I142" i="29"/>
  <c r="H142" i="29"/>
  <c r="I51" i="29"/>
  <c r="H51" i="29"/>
  <c r="N24" i="29" l="1"/>
  <c r="P24" i="29" s="1"/>
  <c r="M24" i="29"/>
  <c r="Q24" i="29" s="1"/>
  <c r="P487" i="31"/>
  <c r="O487" i="31"/>
  <c r="N487" i="31"/>
  <c r="M487" i="31"/>
  <c r="L487" i="31"/>
  <c r="K487" i="31"/>
  <c r="J487" i="31"/>
  <c r="I487" i="31"/>
  <c r="H487" i="31"/>
  <c r="G487" i="31"/>
  <c r="F487" i="31"/>
  <c r="E487" i="31"/>
  <c r="D487" i="31"/>
  <c r="P151" i="31" l="1"/>
  <c r="O151" i="31"/>
  <c r="N151" i="31"/>
  <c r="L151" i="31"/>
  <c r="I151" i="31"/>
  <c r="H151" i="31"/>
  <c r="G151" i="31"/>
  <c r="F151" i="31"/>
  <c r="E151" i="31"/>
  <c r="D151" i="31"/>
  <c r="P149" i="29"/>
  <c r="O149" i="29"/>
  <c r="N149" i="29"/>
  <c r="L149" i="29"/>
  <c r="I149" i="29"/>
  <c r="H149" i="29"/>
  <c r="G149" i="29"/>
  <c r="F149" i="29"/>
  <c r="E149" i="29"/>
  <c r="D149" i="29"/>
  <c r="E235" i="29" l="1"/>
  <c r="D235" i="29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O398" i="29"/>
  <c r="N398" i="29"/>
  <c r="M398" i="29"/>
  <c r="L398" i="29"/>
  <c r="I398" i="29"/>
  <c r="G398" i="29"/>
  <c r="F398" i="29"/>
  <c r="E398" i="29"/>
  <c r="D398" i="29"/>
  <c r="P260" i="31"/>
  <c r="O260" i="31"/>
  <c r="N260" i="31"/>
  <c r="M260" i="31"/>
  <c r="L260" i="31"/>
  <c r="K260" i="31"/>
  <c r="J260" i="31"/>
  <c r="I260" i="31"/>
  <c r="H260" i="31"/>
  <c r="G260" i="31"/>
  <c r="F260" i="31"/>
  <c r="E260" i="31"/>
  <c r="D260" i="31"/>
  <c r="O64" i="29"/>
  <c r="N64" i="29"/>
  <c r="M64" i="29"/>
  <c r="I64" i="29"/>
  <c r="G64" i="29"/>
  <c r="F64" i="29"/>
  <c r="E64" i="29"/>
  <c r="D64" i="29"/>
  <c r="P316" i="31" l="1"/>
  <c r="O316" i="31"/>
  <c r="N316" i="31"/>
  <c r="M316" i="31"/>
  <c r="L316" i="31"/>
  <c r="J316" i="31"/>
  <c r="I316" i="31"/>
  <c r="H316" i="31"/>
  <c r="G316" i="31"/>
  <c r="F316" i="31"/>
  <c r="E316" i="31"/>
  <c r="D316" i="31"/>
  <c r="G315" i="29"/>
  <c r="F315" i="29"/>
  <c r="E315" i="29"/>
  <c r="D315" i="29"/>
  <c r="O412" i="31" l="1"/>
  <c r="N412" i="31"/>
  <c r="M412" i="31"/>
  <c r="L412" i="31"/>
  <c r="K412" i="31"/>
  <c r="J412" i="31"/>
  <c r="H412" i="31"/>
  <c r="G412" i="31"/>
  <c r="F412" i="31"/>
  <c r="E412" i="31"/>
  <c r="D412" i="31"/>
  <c r="Q388" i="31" l="1"/>
  <c r="P388" i="31"/>
  <c r="O388" i="31"/>
  <c r="N388" i="31"/>
  <c r="M388" i="31"/>
  <c r="L388" i="31"/>
  <c r="K388" i="31"/>
  <c r="J388" i="31"/>
  <c r="I388" i="31"/>
  <c r="H388" i="31"/>
  <c r="G388" i="31"/>
  <c r="F388" i="31"/>
  <c r="E388" i="31"/>
  <c r="D388" i="31"/>
  <c r="P298" i="31"/>
  <c r="O298" i="31"/>
  <c r="N298" i="31"/>
  <c r="M298" i="31"/>
  <c r="L298" i="31"/>
  <c r="K298" i="31"/>
  <c r="J298" i="31"/>
  <c r="I298" i="31"/>
  <c r="H298" i="31"/>
  <c r="G298" i="31"/>
  <c r="F298" i="31"/>
  <c r="E298" i="31"/>
  <c r="D298" i="31"/>
  <c r="P480" i="31" l="1"/>
  <c r="O480" i="31"/>
  <c r="N480" i="31"/>
  <c r="M480" i="31"/>
  <c r="L480" i="31"/>
  <c r="K480" i="31"/>
  <c r="J480" i="31"/>
  <c r="I480" i="31"/>
  <c r="H480" i="31"/>
  <c r="G480" i="31"/>
  <c r="F480" i="31"/>
  <c r="E480" i="31"/>
  <c r="D480" i="31"/>
  <c r="P485" i="29"/>
  <c r="O485" i="29"/>
  <c r="N485" i="29"/>
  <c r="M485" i="29"/>
  <c r="L485" i="29"/>
  <c r="K485" i="29"/>
  <c r="J485" i="29"/>
  <c r="I485" i="29"/>
  <c r="H485" i="29"/>
  <c r="G485" i="29"/>
  <c r="F485" i="29"/>
  <c r="E485" i="29"/>
  <c r="D485" i="29"/>
  <c r="M390" i="29"/>
  <c r="L390" i="29"/>
  <c r="K390" i="29"/>
  <c r="J390" i="29"/>
  <c r="G390" i="29"/>
  <c r="F390" i="29"/>
  <c r="E390" i="29"/>
  <c r="P368" i="31"/>
  <c r="O368" i="31"/>
  <c r="N368" i="31"/>
  <c r="M368" i="31"/>
  <c r="L368" i="31"/>
  <c r="K368" i="31"/>
  <c r="J368" i="31"/>
  <c r="I368" i="31"/>
  <c r="H368" i="31"/>
  <c r="G368" i="31"/>
  <c r="F368" i="31"/>
  <c r="E368" i="31"/>
  <c r="D368" i="31"/>
  <c r="M368" i="29"/>
  <c r="L368" i="29"/>
  <c r="J368" i="29"/>
  <c r="K368" i="29"/>
  <c r="G368" i="29"/>
  <c r="F368" i="29"/>
  <c r="E368" i="29"/>
  <c r="M295" i="29"/>
  <c r="L295" i="29"/>
  <c r="J295" i="29"/>
  <c r="G295" i="29"/>
  <c r="F295" i="29"/>
  <c r="E295" i="29"/>
  <c r="Q252" i="31" l="1"/>
  <c r="P252" i="31"/>
  <c r="O252" i="31"/>
  <c r="N252" i="31"/>
  <c r="M252" i="31"/>
  <c r="L252" i="31"/>
  <c r="K252" i="31"/>
  <c r="J252" i="31"/>
  <c r="I252" i="31"/>
  <c r="H252" i="31"/>
  <c r="G252" i="31"/>
  <c r="F252" i="31"/>
  <c r="E252" i="31"/>
  <c r="D252" i="31"/>
  <c r="M249" i="29"/>
  <c r="L249" i="29"/>
  <c r="K249" i="29"/>
  <c r="J249" i="29"/>
  <c r="G249" i="29"/>
  <c r="F249" i="29"/>
  <c r="E249" i="29"/>
  <c r="P205" i="31"/>
  <c r="O205" i="31"/>
  <c r="N205" i="31"/>
  <c r="M205" i="31"/>
  <c r="L205" i="31"/>
  <c r="K205" i="31"/>
  <c r="J205" i="31"/>
  <c r="I205" i="31"/>
  <c r="H205" i="31"/>
  <c r="G205" i="31"/>
  <c r="F205" i="31"/>
  <c r="E205" i="31"/>
  <c r="D205" i="31"/>
  <c r="M203" i="29"/>
  <c r="L203" i="29"/>
  <c r="K203" i="29"/>
  <c r="J203" i="29"/>
  <c r="G203" i="29"/>
  <c r="E203" i="29"/>
  <c r="Q85" i="31" l="1"/>
  <c r="P85" i="31"/>
  <c r="O85" i="31"/>
  <c r="N85" i="31"/>
  <c r="M85" i="31"/>
  <c r="L85" i="31"/>
  <c r="K85" i="31"/>
  <c r="J85" i="31"/>
  <c r="I85" i="31"/>
  <c r="H85" i="31"/>
  <c r="G85" i="31"/>
  <c r="F85" i="31"/>
  <c r="E85" i="31"/>
  <c r="D85" i="31"/>
  <c r="M82" i="29"/>
  <c r="L82" i="29"/>
  <c r="K82" i="29"/>
  <c r="J82" i="29"/>
  <c r="G82" i="29"/>
  <c r="F82" i="29"/>
  <c r="E82" i="29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M10" i="29"/>
  <c r="L10" i="29"/>
  <c r="K10" i="29"/>
  <c r="J10" i="29"/>
  <c r="G10" i="29"/>
  <c r="F10" i="29"/>
  <c r="E10" i="29"/>
  <c r="D10" i="29"/>
  <c r="P239" i="31" l="1"/>
  <c r="O239" i="31"/>
  <c r="M239" i="31"/>
  <c r="L239" i="31"/>
  <c r="K239" i="31"/>
  <c r="J239" i="31"/>
  <c r="I239" i="31"/>
  <c r="H239" i="31"/>
  <c r="G239" i="31"/>
  <c r="F239" i="31"/>
  <c r="E239" i="31"/>
  <c r="D239" i="31"/>
  <c r="O166" i="29"/>
  <c r="N166" i="29"/>
  <c r="M166" i="29"/>
  <c r="L166" i="29"/>
  <c r="K166" i="29"/>
  <c r="J166" i="29"/>
  <c r="I166" i="29"/>
  <c r="H166" i="29"/>
  <c r="G166" i="29"/>
  <c r="F166" i="29"/>
  <c r="E166" i="29"/>
  <c r="D166" i="29"/>
  <c r="P214" i="31"/>
  <c r="O214" i="31"/>
  <c r="N214" i="31"/>
  <c r="M214" i="31"/>
  <c r="L214" i="31"/>
  <c r="K214" i="31"/>
  <c r="J214" i="31"/>
  <c r="I214" i="31"/>
  <c r="H214" i="31"/>
  <c r="G214" i="31"/>
  <c r="F214" i="31"/>
  <c r="E214" i="31"/>
  <c r="D214" i="31"/>
  <c r="P399" i="29"/>
  <c r="O399" i="29"/>
  <c r="N399" i="29"/>
  <c r="M399" i="29"/>
  <c r="L399" i="29"/>
  <c r="K399" i="29"/>
  <c r="J399" i="29"/>
  <c r="I399" i="29"/>
  <c r="H399" i="29"/>
  <c r="G399" i="29"/>
  <c r="F399" i="29"/>
  <c r="E399" i="29"/>
  <c r="D399" i="29"/>
  <c r="G143" i="31"/>
  <c r="F143" i="31"/>
  <c r="E143" i="31"/>
  <c r="D143" i="31"/>
  <c r="P142" i="31"/>
  <c r="O142" i="31"/>
  <c r="N142" i="31"/>
  <c r="M142" i="31"/>
  <c r="L142" i="31"/>
  <c r="K142" i="31"/>
  <c r="J142" i="31"/>
  <c r="I142" i="31"/>
  <c r="H142" i="31"/>
  <c r="G142" i="31"/>
  <c r="F142" i="31"/>
  <c r="E142" i="31"/>
  <c r="D142" i="31"/>
  <c r="P54" i="31" l="1"/>
  <c r="O54" i="31"/>
  <c r="N54" i="31"/>
  <c r="M54" i="31"/>
  <c r="L54" i="31"/>
  <c r="K54" i="31"/>
  <c r="J54" i="31"/>
  <c r="I54" i="31"/>
  <c r="H54" i="31"/>
  <c r="G54" i="31"/>
  <c r="F54" i="31"/>
  <c r="E54" i="31"/>
  <c r="D54" i="31"/>
  <c r="P520" i="31"/>
  <c r="O520" i="31"/>
  <c r="N520" i="31"/>
  <c r="M520" i="31"/>
  <c r="L520" i="31"/>
  <c r="K520" i="31"/>
  <c r="J520" i="31"/>
  <c r="I520" i="31"/>
  <c r="H520" i="31"/>
  <c r="G520" i="31"/>
  <c r="F520" i="31"/>
  <c r="E520" i="31"/>
  <c r="D520" i="31"/>
  <c r="P383" i="31"/>
  <c r="O383" i="31"/>
  <c r="N383" i="31"/>
  <c r="M383" i="31"/>
  <c r="L383" i="31"/>
  <c r="K383" i="31"/>
  <c r="J383" i="31"/>
  <c r="I383" i="31"/>
  <c r="H383" i="31"/>
  <c r="G383" i="31"/>
  <c r="F383" i="31"/>
  <c r="E383" i="31"/>
  <c r="D383" i="31"/>
  <c r="P277" i="31"/>
  <c r="O277" i="31"/>
  <c r="N277" i="31"/>
  <c r="M277" i="31"/>
  <c r="L277" i="31"/>
  <c r="K277" i="31"/>
  <c r="J277" i="31"/>
  <c r="I277" i="31"/>
  <c r="H277" i="31"/>
  <c r="G277" i="31"/>
  <c r="F277" i="31"/>
  <c r="E277" i="31"/>
  <c r="D277" i="31"/>
  <c r="P50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P523" i="29"/>
  <c r="O523" i="29"/>
  <c r="N523" i="29"/>
  <c r="M523" i="29"/>
  <c r="L523" i="29"/>
  <c r="K523" i="29"/>
  <c r="J523" i="29"/>
  <c r="I523" i="29"/>
  <c r="H523" i="29"/>
  <c r="G523" i="29"/>
  <c r="F523" i="29"/>
  <c r="E523" i="29"/>
  <c r="D523" i="29"/>
  <c r="P385" i="29"/>
  <c r="O385" i="29"/>
  <c r="N385" i="29"/>
  <c r="M385" i="29"/>
  <c r="L385" i="29"/>
  <c r="K385" i="29"/>
  <c r="J385" i="29"/>
  <c r="I385" i="29"/>
  <c r="H385" i="29"/>
  <c r="G385" i="29"/>
  <c r="F385" i="29"/>
  <c r="E385" i="29"/>
  <c r="D385" i="29"/>
  <c r="P161" i="31"/>
  <c r="O161" i="31"/>
  <c r="N161" i="31"/>
  <c r="M161" i="31"/>
  <c r="L161" i="31"/>
  <c r="K161" i="31"/>
  <c r="J161" i="31"/>
  <c r="I161" i="31"/>
  <c r="H161" i="31"/>
  <c r="G161" i="31"/>
  <c r="F161" i="31"/>
  <c r="E161" i="31"/>
  <c r="D161" i="31"/>
  <c r="P159" i="29"/>
  <c r="O159" i="29"/>
  <c r="N159" i="29"/>
  <c r="M159" i="29"/>
  <c r="L159" i="29"/>
  <c r="K159" i="29"/>
  <c r="J159" i="29"/>
  <c r="I159" i="29"/>
  <c r="H159" i="29"/>
  <c r="G159" i="29"/>
  <c r="F159" i="29"/>
  <c r="E159" i="29"/>
  <c r="D159" i="29"/>
  <c r="P474" i="31"/>
  <c r="O474" i="31"/>
  <c r="N474" i="31"/>
  <c r="M474" i="31"/>
  <c r="L474" i="31"/>
  <c r="K474" i="31"/>
  <c r="J474" i="31"/>
  <c r="I474" i="31"/>
  <c r="H474" i="31"/>
  <c r="G474" i="31"/>
  <c r="F474" i="31"/>
  <c r="E474" i="31"/>
  <c r="D474" i="31"/>
  <c r="P545" i="31"/>
  <c r="O545" i="31"/>
  <c r="N545" i="31"/>
  <c r="M545" i="31"/>
  <c r="L545" i="31"/>
  <c r="K545" i="31"/>
  <c r="I545" i="31"/>
  <c r="H545" i="31"/>
  <c r="G545" i="31"/>
  <c r="F545" i="31"/>
  <c r="E545" i="31"/>
  <c r="D545" i="31"/>
  <c r="P451" i="31"/>
  <c r="O451" i="31"/>
  <c r="N451" i="31"/>
  <c r="M451" i="31"/>
  <c r="L451" i="31"/>
  <c r="K451" i="31"/>
  <c r="I451" i="31"/>
  <c r="H451" i="31"/>
  <c r="G451" i="31"/>
  <c r="F451" i="31"/>
  <c r="E451" i="31"/>
  <c r="D451" i="31"/>
  <c r="P546" i="29"/>
  <c r="O546" i="29"/>
  <c r="N546" i="29"/>
  <c r="M546" i="29"/>
  <c r="L546" i="29"/>
  <c r="K546" i="29"/>
  <c r="I546" i="29"/>
  <c r="H546" i="29"/>
  <c r="G546" i="29"/>
  <c r="F546" i="29"/>
  <c r="E546" i="29"/>
  <c r="D546" i="29"/>
  <c r="P221" i="31"/>
  <c r="O221" i="31"/>
  <c r="N221" i="31"/>
  <c r="M221" i="31"/>
  <c r="L221" i="31"/>
  <c r="K221" i="31"/>
  <c r="J221" i="31"/>
  <c r="I221" i="31"/>
  <c r="H221" i="31"/>
  <c r="G221" i="31"/>
  <c r="F221" i="31"/>
  <c r="E221" i="31"/>
  <c r="D221" i="31"/>
  <c r="G407" i="29"/>
  <c r="F407" i="29"/>
  <c r="E407" i="29"/>
  <c r="D407" i="29"/>
  <c r="G60" i="29"/>
  <c r="F60" i="29"/>
  <c r="E60" i="29"/>
  <c r="D60" i="29"/>
  <c r="G405" i="31"/>
  <c r="F405" i="31"/>
  <c r="E405" i="31"/>
  <c r="D405" i="31"/>
  <c r="Q283" i="31" l="1"/>
  <c r="P274" i="29" l="1"/>
  <c r="O274" i="29"/>
  <c r="N274" i="29"/>
  <c r="M274" i="29"/>
  <c r="L274" i="29"/>
  <c r="K274" i="29"/>
  <c r="J274" i="29"/>
  <c r="I274" i="29"/>
  <c r="H274" i="29"/>
  <c r="G274" i="29"/>
  <c r="F274" i="29"/>
  <c r="E274" i="29"/>
  <c r="D274" i="29"/>
  <c r="P479" i="29" l="1"/>
  <c r="O479" i="29"/>
  <c r="N479" i="29"/>
  <c r="M479" i="29"/>
  <c r="L479" i="29"/>
  <c r="K479" i="29"/>
  <c r="J479" i="29"/>
  <c r="I479" i="29"/>
  <c r="H479" i="29"/>
  <c r="G479" i="29"/>
  <c r="F479" i="29"/>
  <c r="E479" i="29"/>
  <c r="D479" i="29"/>
  <c r="O104" i="31" l="1"/>
  <c r="N104" i="31"/>
  <c r="M104" i="31"/>
  <c r="L104" i="31"/>
  <c r="K104" i="31"/>
  <c r="J104" i="31"/>
  <c r="I104" i="31"/>
  <c r="H104" i="31"/>
  <c r="G104" i="31"/>
  <c r="F104" i="31"/>
  <c r="E104" i="31"/>
  <c r="D104" i="31"/>
  <c r="Q490" i="31" l="1"/>
  <c r="P490" i="31"/>
  <c r="K490" i="31"/>
  <c r="J490" i="31"/>
  <c r="I490" i="31"/>
  <c r="H490" i="31"/>
  <c r="G490" i="31"/>
  <c r="F490" i="31"/>
  <c r="E490" i="31"/>
  <c r="D490" i="31"/>
  <c r="G66" i="29"/>
  <c r="F66" i="29"/>
  <c r="E66" i="29"/>
  <c r="D66" i="29"/>
  <c r="G95" i="31"/>
  <c r="F95" i="31"/>
  <c r="E95" i="31"/>
  <c r="D95" i="31"/>
  <c r="Q306" i="29"/>
  <c r="P306" i="29"/>
  <c r="K306" i="29"/>
  <c r="J306" i="29"/>
  <c r="I306" i="29"/>
  <c r="H306" i="29"/>
  <c r="G306" i="29"/>
  <c r="F306" i="29"/>
  <c r="E306" i="29"/>
  <c r="D306" i="29"/>
  <c r="G483" i="31" l="1"/>
  <c r="S51" i="32" l="1"/>
  <c r="S50" i="32"/>
  <c r="S46" i="32"/>
  <c r="S45" i="32"/>
  <c r="S35" i="32"/>
  <c r="S34" i="32"/>
  <c r="S24" i="32"/>
  <c r="S23" i="32"/>
  <c r="S13" i="32"/>
  <c r="S12" i="32"/>
  <c r="S55" i="33"/>
  <c r="S54" i="33"/>
  <c r="S50" i="33"/>
  <c r="S49" i="33"/>
  <c r="S38" i="33"/>
  <c r="S37" i="33"/>
  <c r="S26" i="33"/>
  <c r="S25" i="33"/>
  <c r="S14" i="33"/>
  <c r="S13" i="33"/>
  <c r="Q140" i="29" l="1"/>
  <c r="P140" i="29"/>
  <c r="K140" i="29"/>
  <c r="J140" i="29"/>
  <c r="I140" i="29"/>
  <c r="H140" i="29"/>
  <c r="G140" i="29"/>
  <c r="F140" i="29"/>
  <c r="E140" i="29"/>
  <c r="D140" i="29"/>
  <c r="Q275" i="31"/>
  <c r="P275" i="31"/>
  <c r="O275" i="31"/>
  <c r="N275" i="31"/>
  <c r="M275" i="31"/>
  <c r="L275" i="31"/>
  <c r="K275" i="31"/>
  <c r="J275" i="31"/>
  <c r="I275" i="31"/>
  <c r="H275" i="31"/>
  <c r="G275" i="31"/>
  <c r="F275" i="31"/>
  <c r="E275" i="31"/>
  <c r="D275" i="31"/>
  <c r="Q272" i="29"/>
  <c r="P272" i="29"/>
  <c r="O272" i="29"/>
  <c r="N272" i="29"/>
  <c r="M272" i="29"/>
  <c r="L272" i="29"/>
  <c r="K272" i="29"/>
  <c r="J272" i="29"/>
  <c r="I272" i="29"/>
  <c r="H272" i="29"/>
  <c r="G272" i="29"/>
  <c r="F272" i="29"/>
  <c r="E272" i="29"/>
  <c r="D272" i="29"/>
  <c r="J454" i="31" l="1"/>
  <c r="Q454" i="31"/>
  <c r="P456" i="29"/>
  <c r="O456" i="29"/>
  <c r="N456" i="29"/>
  <c r="M456" i="29"/>
  <c r="L456" i="29"/>
  <c r="K456" i="29"/>
  <c r="I456" i="29"/>
  <c r="H456" i="29"/>
  <c r="G456" i="29"/>
  <c r="F456" i="29"/>
  <c r="E456" i="29"/>
  <c r="D456" i="29"/>
  <c r="P219" i="29"/>
  <c r="O219" i="29"/>
  <c r="N219" i="29"/>
  <c r="M219" i="29"/>
  <c r="L219" i="29"/>
  <c r="K219" i="29"/>
  <c r="J219" i="29"/>
  <c r="I219" i="29"/>
  <c r="H219" i="29"/>
  <c r="G219" i="29"/>
  <c r="F219" i="29"/>
  <c r="E219" i="29"/>
  <c r="D219" i="29"/>
  <c r="O506" i="31"/>
  <c r="N506" i="31"/>
  <c r="M506" i="31"/>
  <c r="L506" i="31"/>
  <c r="G506" i="31"/>
  <c r="F506" i="31"/>
  <c r="E506" i="31"/>
  <c r="D506" i="31"/>
  <c r="O510" i="29"/>
  <c r="N510" i="29"/>
  <c r="M510" i="29"/>
  <c r="L510" i="29"/>
  <c r="G510" i="29"/>
  <c r="F510" i="29"/>
  <c r="E510" i="29"/>
  <c r="D510" i="29"/>
  <c r="O509" i="29"/>
  <c r="N509" i="29"/>
  <c r="M509" i="29"/>
  <c r="L509" i="29"/>
  <c r="K509" i="29"/>
  <c r="J509" i="29"/>
  <c r="I509" i="29"/>
  <c r="H509" i="29"/>
  <c r="G509" i="29"/>
  <c r="F509" i="29"/>
  <c r="E509" i="29"/>
  <c r="D509" i="29"/>
  <c r="Q570" i="31"/>
  <c r="Q547" i="31"/>
  <c r="Q522" i="31"/>
  <c r="P500" i="31"/>
  <c r="Q476" i="31"/>
  <c r="Q429" i="31"/>
  <c r="Q384" i="31"/>
  <c r="Q372" i="31"/>
  <c r="Q364" i="31"/>
  <c r="Q340" i="31"/>
  <c r="Q317" i="31"/>
  <c r="P271" i="31"/>
  <c r="Q271" i="31"/>
  <c r="P248" i="31"/>
  <c r="Q248" i="31"/>
  <c r="Q223" i="31"/>
  <c r="Q201" i="31"/>
  <c r="P177" i="31"/>
  <c r="Q163" i="31"/>
  <c r="Q128" i="31"/>
  <c r="P105" i="31"/>
  <c r="Q105" i="31"/>
  <c r="Q56" i="31"/>
  <c r="Q124" i="29" l="1"/>
  <c r="P101" i="29"/>
  <c r="Q101" i="29"/>
  <c r="Q52" i="29"/>
  <c r="Q15" i="29"/>
  <c r="Q570" i="29"/>
  <c r="Q548" i="29"/>
  <c r="Q525" i="29"/>
  <c r="P504" i="29"/>
  <c r="Q481" i="29"/>
  <c r="Q459" i="29"/>
  <c r="Q433" i="29"/>
  <c r="Q386" i="29"/>
  <c r="Q375" i="29"/>
  <c r="Q372" i="29"/>
  <c r="Q364" i="29"/>
  <c r="Q340" i="29"/>
  <c r="Q316" i="29"/>
  <c r="Q276" i="29"/>
  <c r="P268" i="29"/>
  <c r="Q268" i="29"/>
  <c r="P245" i="29"/>
  <c r="Q245" i="29"/>
  <c r="Q221" i="29"/>
  <c r="Q199" i="29"/>
  <c r="D188" i="29"/>
  <c r="E188" i="29"/>
  <c r="F188" i="29"/>
  <c r="G188" i="29"/>
  <c r="H188" i="29"/>
  <c r="I188" i="29"/>
  <c r="K188" i="29"/>
  <c r="L188" i="29"/>
  <c r="M188" i="29"/>
  <c r="N188" i="29"/>
  <c r="O188" i="29"/>
  <c r="P188" i="29"/>
  <c r="D189" i="29"/>
  <c r="E189" i="29"/>
  <c r="F189" i="29"/>
  <c r="G189" i="29"/>
  <c r="H189" i="29"/>
  <c r="I189" i="29"/>
  <c r="K189" i="29"/>
  <c r="L189" i="29"/>
  <c r="M189" i="29"/>
  <c r="N189" i="29"/>
  <c r="O189" i="29"/>
  <c r="P189" i="29"/>
  <c r="D190" i="29"/>
  <c r="E190" i="29"/>
  <c r="F190" i="29"/>
  <c r="G190" i="29"/>
  <c r="H190" i="29"/>
  <c r="I190" i="29"/>
  <c r="J190" i="29"/>
  <c r="K190" i="29"/>
  <c r="L190" i="29"/>
  <c r="M190" i="29"/>
  <c r="N190" i="29"/>
  <c r="O190" i="29"/>
  <c r="P190" i="29"/>
  <c r="D191" i="29"/>
  <c r="E191" i="29"/>
  <c r="F191" i="29"/>
  <c r="G191" i="29"/>
  <c r="H191" i="29"/>
  <c r="I191" i="29"/>
  <c r="J191" i="29"/>
  <c r="K191" i="29"/>
  <c r="L191" i="29"/>
  <c r="M191" i="29"/>
  <c r="N191" i="29"/>
  <c r="O191" i="29"/>
  <c r="P191" i="29"/>
  <c r="D192" i="29"/>
  <c r="E192" i="29"/>
  <c r="F192" i="29"/>
  <c r="G192" i="29"/>
  <c r="H192" i="29"/>
  <c r="I192" i="29"/>
  <c r="J192" i="29"/>
  <c r="K192" i="29"/>
  <c r="L192" i="29"/>
  <c r="M192" i="29"/>
  <c r="N192" i="29"/>
  <c r="O192" i="29"/>
  <c r="D193" i="29"/>
  <c r="E193" i="29"/>
  <c r="F193" i="29"/>
  <c r="G193" i="29"/>
  <c r="H193" i="29"/>
  <c r="I193" i="29"/>
  <c r="K193" i="29"/>
  <c r="L193" i="29"/>
  <c r="M193" i="29"/>
  <c r="N193" i="29"/>
  <c r="O193" i="29"/>
  <c r="P193" i="29"/>
  <c r="Q193" i="29"/>
  <c r="Q195" i="29" s="1"/>
  <c r="D194" i="29"/>
  <c r="E194" i="29"/>
  <c r="F194" i="29"/>
  <c r="G194" i="29"/>
  <c r="H194" i="29"/>
  <c r="I194" i="29"/>
  <c r="K194" i="29"/>
  <c r="L194" i="29"/>
  <c r="M194" i="29"/>
  <c r="N194" i="29"/>
  <c r="O194" i="29"/>
  <c r="P194" i="29"/>
  <c r="P176" i="29"/>
  <c r="Q161" i="29"/>
  <c r="Q63" i="29"/>
  <c r="P195" i="29" l="1"/>
  <c r="I195" i="29"/>
  <c r="N195" i="29"/>
  <c r="L195" i="29"/>
  <c r="G195" i="29"/>
  <c r="E195" i="29"/>
  <c r="J195" i="29"/>
  <c r="O195" i="29"/>
  <c r="M195" i="29"/>
  <c r="K195" i="29"/>
  <c r="H195" i="29"/>
  <c r="F195" i="29"/>
  <c r="D195" i="29"/>
  <c r="H52" i="33"/>
  <c r="H53" i="33"/>
  <c r="R55" i="33" l="1"/>
  <c r="Q55" i="33"/>
  <c r="P55" i="33"/>
  <c r="O55" i="33"/>
  <c r="N55" i="33"/>
  <c r="M55" i="33"/>
  <c r="L55" i="33"/>
  <c r="K55" i="33"/>
  <c r="J55" i="33"/>
  <c r="I55" i="33"/>
  <c r="G55" i="33"/>
  <c r="E55" i="33"/>
  <c r="C55" i="33"/>
  <c r="R54" i="33"/>
  <c r="Q54" i="33"/>
  <c r="P54" i="33"/>
  <c r="O54" i="33"/>
  <c r="N54" i="33"/>
  <c r="M54" i="33"/>
  <c r="L54" i="33"/>
  <c r="K54" i="33"/>
  <c r="J54" i="33"/>
  <c r="I54" i="33"/>
  <c r="G54" i="33"/>
  <c r="E54" i="33"/>
  <c r="C54" i="33"/>
  <c r="R50" i="33"/>
  <c r="Q50" i="33"/>
  <c r="P50" i="33"/>
  <c r="O50" i="33"/>
  <c r="N50" i="33"/>
  <c r="M50" i="33"/>
  <c r="L50" i="33"/>
  <c r="K50" i="33"/>
  <c r="J50" i="33"/>
  <c r="I50" i="33"/>
  <c r="G50" i="33"/>
  <c r="E50" i="33"/>
  <c r="C50" i="33"/>
  <c r="R49" i="33"/>
  <c r="Q49" i="33"/>
  <c r="P49" i="33"/>
  <c r="O49" i="33"/>
  <c r="N49" i="33"/>
  <c r="M49" i="33"/>
  <c r="L49" i="33"/>
  <c r="K49" i="33"/>
  <c r="J49" i="33"/>
  <c r="I49" i="33"/>
  <c r="G49" i="33"/>
  <c r="E49" i="33"/>
  <c r="C49" i="33"/>
  <c r="R38" i="33"/>
  <c r="Q38" i="33"/>
  <c r="P38" i="33"/>
  <c r="O38" i="33"/>
  <c r="N38" i="33"/>
  <c r="M38" i="33"/>
  <c r="L38" i="33"/>
  <c r="K38" i="33"/>
  <c r="J38" i="33"/>
  <c r="I38" i="33"/>
  <c r="G38" i="33"/>
  <c r="E38" i="33"/>
  <c r="C38" i="33"/>
  <c r="R37" i="33"/>
  <c r="Q37" i="33"/>
  <c r="P37" i="33"/>
  <c r="O37" i="33"/>
  <c r="N37" i="33"/>
  <c r="M37" i="33"/>
  <c r="L37" i="33"/>
  <c r="K37" i="33"/>
  <c r="J37" i="33"/>
  <c r="I37" i="33"/>
  <c r="G37" i="33"/>
  <c r="E37" i="33"/>
  <c r="C37" i="33"/>
  <c r="R26" i="33"/>
  <c r="Q26" i="33"/>
  <c r="P26" i="33"/>
  <c r="O26" i="33"/>
  <c r="N26" i="33"/>
  <c r="M26" i="33"/>
  <c r="L26" i="33"/>
  <c r="K26" i="33"/>
  <c r="J26" i="33"/>
  <c r="I26" i="33"/>
  <c r="G26" i="33"/>
  <c r="E26" i="33"/>
  <c r="C26" i="33"/>
  <c r="R25" i="33"/>
  <c r="Q25" i="33"/>
  <c r="P25" i="33"/>
  <c r="O25" i="33"/>
  <c r="N25" i="33"/>
  <c r="M25" i="33"/>
  <c r="L25" i="33"/>
  <c r="K25" i="33"/>
  <c r="J25" i="33"/>
  <c r="I25" i="33"/>
  <c r="G25" i="33"/>
  <c r="E25" i="33"/>
  <c r="C25" i="33"/>
  <c r="R14" i="33"/>
  <c r="Q14" i="33"/>
  <c r="P14" i="33"/>
  <c r="O14" i="33"/>
  <c r="N14" i="33"/>
  <c r="M14" i="33"/>
  <c r="L14" i="33"/>
  <c r="K14" i="33"/>
  <c r="J14" i="33"/>
  <c r="I14" i="33"/>
  <c r="G14" i="33"/>
  <c r="E14" i="33"/>
  <c r="C14" i="33"/>
  <c r="R13" i="33"/>
  <c r="Q13" i="33"/>
  <c r="P13" i="33"/>
  <c r="O13" i="33"/>
  <c r="N13" i="33"/>
  <c r="M13" i="33"/>
  <c r="L13" i="33"/>
  <c r="K13" i="33"/>
  <c r="J13" i="33"/>
  <c r="I13" i="33"/>
  <c r="G13" i="33"/>
  <c r="E13" i="33"/>
  <c r="C13" i="33"/>
  <c r="R51" i="32"/>
  <c r="Q51" i="32"/>
  <c r="P51" i="32"/>
  <c r="O51" i="32"/>
  <c r="N51" i="32"/>
  <c r="M51" i="32"/>
  <c r="L51" i="32"/>
  <c r="K51" i="32"/>
  <c r="J51" i="32"/>
  <c r="I51" i="32"/>
  <c r="G51" i="32"/>
  <c r="E51" i="32"/>
  <c r="C51" i="32"/>
  <c r="R50" i="32"/>
  <c r="Q50" i="32"/>
  <c r="P50" i="32"/>
  <c r="O50" i="32"/>
  <c r="N50" i="32"/>
  <c r="M50" i="32"/>
  <c r="L50" i="32"/>
  <c r="K50" i="32"/>
  <c r="J50" i="32"/>
  <c r="I50" i="32"/>
  <c r="G50" i="32"/>
  <c r="E50" i="32"/>
  <c r="C50" i="32"/>
  <c r="R46" i="32"/>
  <c r="Q46" i="32"/>
  <c r="P46" i="32"/>
  <c r="O46" i="32"/>
  <c r="N46" i="32"/>
  <c r="M46" i="32"/>
  <c r="L46" i="32"/>
  <c r="K46" i="32"/>
  <c r="J46" i="32"/>
  <c r="I46" i="32"/>
  <c r="G46" i="32"/>
  <c r="E46" i="32"/>
  <c r="C46" i="32"/>
  <c r="R45" i="32"/>
  <c r="Q45" i="32"/>
  <c r="P45" i="32"/>
  <c r="O45" i="32"/>
  <c r="N45" i="32"/>
  <c r="M45" i="32"/>
  <c r="L45" i="32"/>
  <c r="K45" i="32"/>
  <c r="J45" i="32"/>
  <c r="I45" i="32"/>
  <c r="G45" i="32"/>
  <c r="E45" i="32"/>
  <c r="C45" i="32"/>
  <c r="R35" i="32"/>
  <c r="Q35" i="32"/>
  <c r="P35" i="32"/>
  <c r="O35" i="32"/>
  <c r="N35" i="32"/>
  <c r="M35" i="32"/>
  <c r="L35" i="32"/>
  <c r="K35" i="32"/>
  <c r="J35" i="32"/>
  <c r="I35" i="32"/>
  <c r="G35" i="32"/>
  <c r="E35" i="32"/>
  <c r="C35" i="32"/>
  <c r="R34" i="32"/>
  <c r="Q34" i="32"/>
  <c r="P34" i="32"/>
  <c r="O34" i="32"/>
  <c r="N34" i="32"/>
  <c r="M34" i="32"/>
  <c r="L34" i="32"/>
  <c r="K34" i="32"/>
  <c r="J34" i="32"/>
  <c r="I34" i="32"/>
  <c r="G34" i="32"/>
  <c r="E34" i="32"/>
  <c r="C34" i="32"/>
  <c r="R24" i="32"/>
  <c r="Q24" i="32"/>
  <c r="P24" i="32"/>
  <c r="O24" i="32"/>
  <c r="N24" i="32"/>
  <c r="M24" i="32"/>
  <c r="L24" i="32"/>
  <c r="K24" i="32"/>
  <c r="J24" i="32"/>
  <c r="I24" i="32"/>
  <c r="G24" i="32"/>
  <c r="E24" i="32"/>
  <c r="C24" i="32"/>
  <c r="R23" i="32"/>
  <c r="Q23" i="32"/>
  <c r="P23" i="32"/>
  <c r="O23" i="32"/>
  <c r="N23" i="32"/>
  <c r="M23" i="32"/>
  <c r="L23" i="32"/>
  <c r="K23" i="32"/>
  <c r="J23" i="32"/>
  <c r="I23" i="32"/>
  <c r="G23" i="32"/>
  <c r="E23" i="32"/>
  <c r="C23" i="32"/>
  <c r="R13" i="32"/>
  <c r="R12" i="32"/>
  <c r="Q442" i="29" l="1"/>
  <c r="Q443" i="29" s="1"/>
  <c r="Q438" i="31"/>
  <c r="Q439" i="31" s="1"/>
  <c r="Q325" i="29"/>
  <c r="Q326" i="31"/>
  <c r="Q137" i="31"/>
  <c r="Q133" i="29"/>
  <c r="Q40" i="31"/>
  <c r="Q39" i="29"/>
  <c r="Q330" i="29"/>
  <c r="Q20" i="31"/>
  <c r="J55" i="31"/>
  <c r="J562" i="31"/>
  <c r="J422" i="31"/>
  <c r="J309" i="31"/>
  <c r="J247" i="31"/>
  <c r="J145" i="31"/>
  <c r="J142" i="29"/>
  <c r="J51" i="29"/>
  <c r="J562" i="29"/>
  <c r="J426" i="29"/>
  <c r="J308" i="29"/>
  <c r="J244" i="29"/>
  <c r="Q56" i="29" l="1"/>
  <c r="Q552" i="29"/>
  <c r="Q60" i="31"/>
  <c r="Q551" i="31"/>
  <c r="Q398" i="31"/>
  <c r="Q212" i="29"/>
  <c r="Q48" i="31" l="1"/>
  <c r="Q561" i="31"/>
  <c r="Q491" i="31"/>
  <c r="Q144" i="31"/>
  <c r="Q450" i="29"/>
  <c r="Q378" i="29"/>
  <c r="Q282" i="29"/>
  <c r="Q249" i="29"/>
  <c r="Q92" i="29"/>
  <c r="Q82" i="29"/>
  <c r="Q390" i="29"/>
  <c r="Q44" i="31"/>
  <c r="Q68" i="31"/>
  <c r="Q515" i="29"/>
  <c r="Q499" i="31"/>
  <c r="Q500" i="31" s="1"/>
  <c r="Q175" i="31"/>
  <c r="Q177" i="31" s="1"/>
  <c r="Q503" i="29"/>
  <c r="Q504" i="29" s="1"/>
  <c r="Q174" i="29"/>
  <c r="Q176" i="29" s="1"/>
  <c r="Q139" i="29"/>
  <c r="Q449" i="29"/>
  <c r="Q424" i="29"/>
  <c r="Q262" i="31"/>
  <c r="Q192" i="31"/>
  <c r="Q119" i="31"/>
  <c r="Q132" i="31"/>
  <c r="Q128" i="29"/>
  <c r="Q527" i="31"/>
  <c r="Q322" i="31"/>
  <c r="Q133" i="31"/>
  <c r="Q530" i="29"/>
  <c r="Q321" i="29"/>
  <c r="Q129" i="29"/>
  <c r="Q110" i="31"/>
  <c r="Q189" i="31"/>
  <c r="Q488" i="31"/>
  <c r="Q397" i="31"/>
  <c r="Q300" i="31"/>
  <c r="Q303" i="31" s="1"/>
  <c r="Q62" i="31"/>
  <c r="P62" i="31"/>
  <c r="Q297" i="29"/>
  <c r="Q300" i="29" s="1"/>
  <c r="Q236" i="29"/>
  <c r="Q138" i="29"/>
  <c r="Q58" i="29"/>
  <c r="Q227" i="31"/>
  <c r="Q34" i="31"/>
  <c r="Q458" i="31"/>
  <c r="Q463" i="29"/>
  <c r="Q225" i="29"/>
  <c r="Q291" i="31"/>
  <c r="Q293" i="31" s="1"/>
  <c r="Q28" i="31"/>
  <c r="Q30" i="31" s="1"/>
  <c r="Q288" i="29"/>
  <c r="Q290" i="29" s="1"/>
  <c r="Q33" i="29"/>
  <c r="Q27" i="29"/>
  <c r="Q29" i="29" s="1"/>
  <c r="Q564" i="31"/>
  <c r="Q542" i="31"/>
  <c r="Q517" i="31"/>
  <c r="Q494" i="31"/>
  <c r="Q448" i="31"/>
  <c r="Q424" i="31"/>
  <c r="Q379" i="31"/>
  <c r="Q358" i="31"/>
  <c r="Q334" i="31"/>
  <c r="Q311" i="31"/>
  <c r="Q288" i="31"/>
  <c r="Q266" i="31"/>
  <c r="Q218" i="31"/>
  <c r="Q171" i="31"/>
  <c r="Q147" i="31"/>
  <c r="Q123" i="31"/>
  <c r="Q99" i="31"/>
  <c r="Q73" i="31"/>
  <c r="Q24" i="31"/>
  <c r="Q564" i="29"/>
  <c r="Q543" i="29"/>
  <c r="Q520" i="29"/>
  <c r="Q498" i="29"/>
  <c r="Q453" i="29"/>
  <c r="Q428" i="29"/>
  <c r="Q381" i="29"/>
  <c r="Q358" i="29"/>
  <c r="Q334" i="29"/>
  <c r="Q310" i="29"/>
  <c r="Q285" i="29"/>
  <c r="Q263" i="29"/>
  <c r="Q216" i="29"/>
  <c r="Q170" i="29"/>
  <c r="Q144" i="29"/>
  <c r="Q119" i="29"/>
  <c r="Q95" i="29"/>
  <c r="Q70" i="29"/>
  <c r="Q23" i="29"/>
  <c r="Q563" i="31"/>
  <c r="Q553" i="31"/>
  <c r="Q555" i="31" s="1"/>
  <c r="Q541" i="31"/>
  <c r="Q530" i="31"/>
  <c r="Q516" i="31"/>
  <c r="Q518" i="31" s="1"/>
  <c r="Q507" i="31"/>
  <c r="Q508" i="31" s="1"/>
  <c r="Q493" i="31"/>
  <c r="Q482" i="31"/>
  <c r="Q484" i="31" s="1"/>
  <c r="Q470" i="31"/>
  <c r="Q472" i="31" s="1"/>
  <c r="Q461" i="31"/>
  <c r="Q447" i="31"/>
  <c r="Q423" i="31"/>
  <c r="Q425" i="31" s="1"/>
  <c r="Q414" i="31"/>
  <c r="Q417" i="31" s="1"/>
  <c r="Q401" i="31"/>
  <c r="Q390" i="31"/>
  <c r="Q378" i="31"/>
  <c r="Q357" i="31"/>
  <c r="Q348" i="31"/>
  <c r="Q350" i="31" s="1"/>
  <c r="Q333" i="31"/>
  <c r="Q335" i="31" s="1"/>
  <c r="Q324" i="31"/>
  <c r="Q310" i="31"/>
  <c r="Q287" i="31"/>
  <c r="Q265" i="31"/>
  <c r="Q254" i="31"/>
  <c r="Q242" i="31"/>
  <c r="Q244" i="31" s="1"/>
  <c r="Q231" i="31"/>
  <c r="Q217" i="31"/>
  <c r="Q219" i="31" s="1"/>
  <c r="Q207" i="31"/>
  <c r="Q210" i="31" s="1"/>
  <c r="Q195" i="31"/>
  <c r="Q185" i="31"/>
  <c r="Q187" i="31" s="1"/>
  <c r="Q170" i="31"/>
  <c r="Q153" i="31"/>
  <c r="Q146" i="31"/>
  <c r="Q134" i="31"/>
  <c r="Q122" i="31"/>
  <c r="Q112" i="31"/>
  <c r="Q98" i="31"/>
  <c r="Q101" i="31" s="1"/>
  <c r="Q87" i="31"/>
  <c r="Q80" i="31"/>
  <c r="Q81" i="31" s="1"/>
  <c r="Q72" i="31"/>
  <c r="Q63" i="31"/>
  <c r="Q50" i="31"/>
  <c r="Q38" i="31"/>
  <c r="Q23" i="31"/>
  <c r="Q563" i="29"/>
  <c r="Q554" i="29"/>
  <c r="Q556" i="29" s="1"/>
  <c r="Q542" i="29"/>
  <c r="Q544" i="29" s="1"/>
  <c r="Q533" i="29"/>
  <c r="Q519" i="29"/>
  <c r="Q511" i="29"/>
  <c r="Q512" i="29" s="1"/>
  <c r="Q497" i="29"/>
  <c r="Q500" i="29" s="1"/>
  <c r="Q487" i="29"/>
  <c r="Q489" i="29" s="1"/>
  <c r="Q475" i="29"/>
  <c r="Q477" i="29" s="1"/>
  <c r="Q466" i="29"/>
  <c r="Q452" i="29"/>
  <c r="Q427" i="29"/>
  <c r="Q416" i="29"/>
  <c r="Q419" i="29" s="1"/>
  <c r="Q403" i="29"/>
  <c r="Q392" i="29"/>
  <c r="Q380" i="29"/>
  <c r="Q357" i="29"/>
  <c r="Q360" i="29" s="1"/>
  <c r="Q348" i="29"/>
  <c r="Q350" i="29" s="1"/>
  <c r="Q333" i="29"/>
  <c r="Q323" i="29"/>
  <c r="Q309" i="29"/>
  <c r="Q284" i="29"/>
  <c r="Q262" i="29"/>
  <c r="Q264" i="29" s="1"/>
  <c r="Q251" i="29"/>
  <c r="Q239" i="29"/>
  <c r="Q229" i="29"/>
  <c r="Q215" i="29"/>
  <c r="Q205" i="29"/>
  <c r="Q208" i="29" s="1"/>
  <c r="Q184" i="29"/>
  <c r="Q186" i="29" s="1"/>
  <c r="Q169" i="29"/>
  <c r="Q151" i="29"/>
  <c r="Q143" i="29"/>
  <c r="Q130" i="29"/>
  <c r="Q118" i="29"/>
  <c r="Q108" i="29"/>
  <c r="Q110" i="29" s="1"/>
  <c r="Q94" i="29"/>
  <c r="Q84" i="29"/>
  <c r="Q77" i="29"/>
  <c r="Q78" i="29" s="1"/>
  <c r="Q69" i="29"/>
  <c r="Q59" i="29"/>
  <c r="Q46" i="29"/>
  <c r="Q48" i="29" s="1"/>
  <c r="Q37" i="29"/>
  <c r="Q22" i="29"/>
  <c r="Q193" i="31"/>
  <c r="Q539" i="31"/>
  <c r="Q445" i="31"/>
  <c r="Q263" i="31"/>
  <c r="Q401" i="29"/>
  <c r="Q307" i="29"/>
  <c r="Q311" i="29" s="1"/>
  <c r="Q116" i="29"/>
  <c r="Q20" i="29"/>
  <c r="Q25" i="29" s="1"/>
  <c r="Q486" i="31"/>
  <c r="Q17" i="31"/>
  <c r="Q26" i="31" s="1"/>
  <c r="Q15" i="31"/>
  <c r="Q409" i="29"/>
  <c r="P408" i="29"/>
  <c r="O408" i="29"/>
  <c r="N408" i="29"/>
  <c r="M408" i="29"/>
  <c r="L408" i="29"/>
  <c r="J408" i="29"/>
  <c r="J409" i="29" s="1"/>
  <c r="I408" i="29"/>
  <c r="H408" i="29"/>
  <c r="P406" i="31"/>
  <c r="O406" i="31"/>
  <c r="N406" i="31"/>
  <c r="M406" i="31"/>
  <c r="L406" i="31"/>
  <c r="J406" i="31"/>
  <c r="J407" i="31" s="1"/>
  <c r="I406" i="31"/>
  <c r="H406" i="31"/>
  <c r="Q407" i="31"/>
  <c r="P182" i="31"/>
  <c r="O182" i="31"/>
  <c r="N182" i="31"/>
  <c r="M182" i="31"/>
  <c r="L182" i="31"/>
  <c r="P136" i="31"/>
  <c r="O136" i="31"/>
  <c r="N136" i="31"/>
  <c r="M136" i="31"/>
  <c r="L136" i="31"/>
  <c r="P111" i="31"/>
  <c r="O111" i="31"/>
  <c r="N111" i="31"/>
  <c r="M111" i="31"/>
  <c r="L111" i="31"/>
  <c r="P61" i="31"/>
  <c r="O61" i="31"/>
  <c r="N61" i="31"/>
  <c r="M61" i="31"/>
  <c r="L61" i="31"/>
  <c r="P552" i="31"/>
  <c r="O552" i="31"/>
  <c r="N552" i="31"/>
  <c r="M552" i="31"/>
  <c r="L552" i="31"/>
  <c r="P481" i="31"/>
  <c r="O481" i="31"/>
  <c r="N481" i="31"/>
  <c r="M481" i="31"/>
  <c r="L481" i="31"/>
  <c r="P436" i="31"/>
  <c r="O436" i="31"/>
  <c r="N436" i="31"/>
  <c r="M436" i="31"/>
  <c r="L436" i="31"/>
  <c r="P427" i="31"/>
  <c r="P429" i="31" s="1"/>
  <c r="O427" i="31"/>
  <c r="N427" i="31"/>
  <c r="M427" i="31"/>
  <c r="L427" i="31"/>
  <c r="P389" i="31"/>
  <c r="O389" i="31"/>
  <c r="N389" i="31"/>
  <c r="M389" i="31"/>
  <c r="L389" i="31"/>
  <c r="P323" i="31"/>
  <c r="O323" i="31"/>
  <c r="N323" i="31"/>
  <c r="M323" i="31"/>
  <c r="L323" i="31"/>
  <c r="P276" i="31"/>
  <c r="O276" i="31"/>
  <c r="N276" i="31"/>
  <c r="M276" i="31"/>
  <c r="L276" i="31"/>
  <c r="P253" i="31"/>
  <c r="O253" i="31"/>
  <c r="N253" i="31"/>
  <c r="M253" i="31"/>
  <c r="L253" i="31"/>
  <c r="P57" i="29"/>
  <c r="O57" i="29"/>
  <c r="N57" i="29"/>
  <c r="M57" i="29"/>
  <c r="L57" i="29"/>
  <c r="P553" i="29"/>
  <c r="O553" i="29"/>
  <c r="N553" i="29"/>
  <c r="M553" i="29"/>
  <c r="L553" i="29"/>
  <c r="P486" i="29"/>
  <c r="O486" i="29"/>
  <c r="N486" i="29"/>
  <c r="M486" i="29"/>
  <c r="L486" i="29"/>
  <c r="P440" i="29"/>
  <c r="O440" i="29"/>
  <c r="N440" i="29"/>
  <c r="M440" i="29"/>
  <c r="L440" i="29"/>
  <c r="P431" i="29"/>
  <c r="P433" i="29" s="1"/>
  <c r="O431" i="29"/>
  <c r="N431" i="29"/>
  <c r="M431" i="29"/>
  <c r="L431" i="29"/>
  <c r="P391" i="29"/>
  <c r="O391" i="29"/>
  <c r="N391" i="29"/>
  <c r="M391" i="29"/>
  <c r="L391" i="29"/>
  <c r="P322" i="29"/>
  <c r="O322" i="29"/>
  <c r="N322" i="29"/>
  <c r="M322" i="29"/>
  <c r="L322" i="29"/>
  <c r="P273" i="29"/>
  <c r="O273" i="29"/>
  <c r="N273" i="29"/>
  <c r="M273" i="29"/>
  <c r="L273" i="29"/>
  <c r="P250" i="29"/>
  <c r="O250" i="29"/>
  <c r="N250" i="29"/>
  <c r="M250" i="29"/>
  <c r="L250" i="29"/>
  <c r="P204" i="29"/>
  <c r="O204" i="29"/>
  <c r="N204" i="29"/>
  <c r="M204" i="29"/>
  <c r="L204" i="29"/>
  <c r="P181" i="29"/>
  <c r="O181" i="29"/>
  <c r="N181" i="29"/>
  <c r="M181" i="29"/>
  <c r="L181" i="29"/>
  <c r="P132" i="29"/>
  <c r="O132" i="29"/>
  <c r="N132" i="29"/>
  <c r="M132" i="29"/>
  <c r="L132" i="29"/>
  <c r="P107" i="29"/>
  <c r="O107" i="29"/>
  <c r="N107" i="29"/>
  <c r="M107" i="29"/>
  <c r="L107" i="29"/>
  <c r="O206" i="31"/>
  <c r="N206" i="31"/>
  <c r="M206" i="31"/>
  <c r="L206" i="31"/>
  <c r="P206" i="31"/>
  <c r="Q74" i="31" l="1"/>
  <c r="Q496" i="31"/>
  <c r="Q289" i="31"/>
  <c r="Q543" i="31"/>
  <c r="Q217" i="29"/>
  <c r="Q335" i="29"/>
  <c r="Q566" i="29"/>
  <c r="Q536" i="29"/>
  <c r="Q533" i="31"/>
  <c r="Q312" i="31"/>
  <c r="Q360" i="31"/>
  <c r="Q566" i="31"/>
  <c r="Q463" i="31"/>
  <c r="Q593" i="31" s="1"/>
  <c r="Q403" i="31"/>
  <c r="Q393" i="31"/>
  <c r="Q327" i="31"/>
  <c r="Q267" i="31"/>
  <c r="Q257" i="31"/>
  <c r="Q234" i="31"/>
  <c r="Q197" i="31"/>
  <c r="Q138" i="31"/>
  <c r="Q114" i="31"/>
  <c r="Q124" i="31"/>
  <c r="Q90" i="31"/>
  <c r="Q65" i="31"/>
  <c r="Q41" i="31"/>
  <c r="Q578" i="31" s="1"/>
  <c r="Q52" i="31"/>
  <c r="Q120" i="29"/>
  <c r="Q61" i="29"/>
  <c r="Q97" i="29"/>
  <c r="Q134" i="29"/>
  <c r="Q40" i="29"/>
  <c r="Q71" i="29"/>
  <c r="Q405" i="29"/>
  <c r="Q429" i="29"/>
  <c r="Q395" i="29"/>
  <c r="Q468" i="29"/>
  <c r="Q597" i="29" s="1"/>
  <c r="Q454" i="29"/>
  <c r="Q521" i="29"/>
  <c r="Q87" i="29"/>
  <c r="Q232" i="29"/>
  <c r="Q241" i="29"/>
  <c r="Q326" i="29"/>
  <c r="Q592" i="29" s="1"/>
  <c r="Q172" i="29"/>
  <c r="Q254" i="29"/>
  <c r="Q145" i="29"/>
  <c r="Q317" i="29"/>
  <c r="Q286" i="29"/>
  <c r="P446" i="29"/>
  <c r="O446" i="29"/>
  <c r="N446" i="29"/>
  <c r="M446" i="29"/>
  <c r="L446" i="29"/>
  <c r="K446" i="29"/>
  <c r="J446" i="29"/>
  <c r="I446" i="29"/>
  <c r="H446" i="29"/>
  <c r="Q588" i="31" l="1"/>
  <c r="Q587" i="29"/>
  <c r="Q588" i="29" s="1"/>
  <c r="Q146" i="29"/>
  <c r="Q582" i="29"/>
  <c r="Q598" i="29"/>
  <c r="P565" i="31"/>
  <c r="O565" i="31"/>
  <c r="N565" i="31"/>
  <c r="M565" i="31"/>
  <c r="L565" i="31"/>
  <c r="J565" i="31"/>
  <c r="H565" i="31"/>
  <c r="G565" i="31"/>
  <c r="F565" i="31"/>
  <c r="E565" i="31"/>
  <c r="D565" i="31"/>
  <c r="P565" i="29"/>
  <c r="O565" i="29"/>
  <c r="N565" i="29"/>
  <c r="M565" i="29"/>
  <c r="L565" i="29"/>
  <c r="J565" i="29"/>
  <c r="H565" i="29"/>
  <c r="P376" i="31"/>
  <c r="O376" i="31"/>
  <c r="N376" i="31"/>
  <c r="M376" i="31"/>
  <c r="L376" i="31"/>
  <c r="K376" i="31"/>
  <c r="J376" i="31"/>
  <c r="I376" i="31"/>
  <c r="H376" i="31"/>
  <c r="P540" i="29"/>
  <c r="O540" i="29"/>
  <c r="N540" i="29"/>
  <c r="M540" i="29"/>
  <c r="L540" i="29"/>
  <c r="K540" i="29"/>
  <c r="I540" i="29"/>
  <c r="J540" i="29"/>
  <c r="H540" i="29"/>
  <c r="O483" i="31"/>
  <c r="N483" i="31"/>
  <c r="M483" i="31"/>
  <c r="L483" i="31"/>
  <c r="I483" i="31"/>
  <c r="F483" i="31"/>
  <c r="E483" i="31"/>
  <c r="D483" i="31"/>
  <c r="O554" i="31"/>
  <c r="N554" i="31"/>
  <c r="M554" i="31"/>
  <c r="L554" i="31"/>
  <c r="I554" i="31"/>
  <c r="G554" i="31"/>
  <c r="F554" i="31"/>
  <c r="E554" i="31"/>
  <c r="D554" i="31"/>
  <c r="O488" i="29"/>
  <c r="N488" i="29"/>
  <c r="M488" i="29"/>
  <c r="L488" i="29"/>
  <c r="I488" i="29"/>
  <c r="P375" i="31"/>
  <c r="O375" i="31"/>
  <c r="N375" i="31"/>
  <c r="M375" i="31"/>
  <c r="L375" i="31"/>
  <c r="K375" i="31"/>
  <c r="J375" i="31"/>
  <c r="I375" i="31"/>
  <c r="H375" i="31"/>
  <c r="G375" i="31"/>
  <c r="F375" i="31"/>
  <c r="E375" i="31"/>
  <c r="D375" i="31"/>
  <c r="P539" i="29"/>
  <c r="O539" i="29"/>
  <c r="N539" i="29"/>
  <c r="M539" i="29"/>
  <c r="L539" i="29"/>
  <c r="K539" i="29"/>
  <c r="J539" i="29"/>
  <c r="I539" i="29"/>
  <c r="H539" i="29"/>
  <c r="P517" i="29"/>
  <c r="O517" i="29"/>
  <c r="N517" i="29"/>
  <c r="M517" i="29"/>
  <c r="L517" i="29"/>
  <c r="K517" i="29"/>
  <c r="J517" i="29"/>
  <c r="I517" i="29"/>
  <c r="H517" i="29"/>
  <c r="G517" i="29"/>
  <c r="F517" i="29"/>
  <c r="E517" i="29"/>
  <c r="D517" i="29"/>
  <c r="P237" i="29"/>
  <c r="O237" i="29"/>
  <c r="N237" i="29"/>
  <c r="M237" i="29"/>
  <c r="L237" i="29"/>
  <c r="K237" i="29"/>
  <c r="J237" i="29"/>
  <c r="I237" i="29"/>
  <c r="H237" i="29"/>
  <c r="G237" i="29"/>
  <c r="F237" i="29"/>
  <c r="E237" i="29"/>
  <c r="D237" i="29"/>
  <c r="P70" i="31"/>
  <c r="O70" i="31"/>
  <c r="N70" i="31"/>
  <c r="M70" i="31"/>
  <c r="L70" i="31"/>
  <c r="K70" i="31"/>
  <c r="J70" i="31"/>
  <c r="I70" i="31"/>
  <c r="H70" i="31"/>
  <c r="G70" i="31"/>
  <c r="F70" i="31"/>
  <c r="E70" i="31"/>
  <c r="D70" i="31"/>
  <c r="P504" i="31"/>
  <c r="O504" i="31"/>
  <c r="N504" i="31"/>
  <c r="M504" i="31"/>
  <c r="L504" i="31"/>
  <c r="K504" i="31"/>
  <c r="J504" i="31"/>
  <c r="I504" i="31"/>
  <c r="H504" i="31"/>
  <c r="P508" i="29"/>
  <c r="O508" i="29"/>
  <c r="N508" i="29"/>
  <c r="M508" i="29"/>
  <c r="L508" i="29"/>
  <c r="K508" i="29"/>
  <c r="H508" i="29"/>
  <c r="J508" i="29"/>
  <c r="J512" i="29" s="1"/>
  <c r="I508" i="29"/>
  <c r="P420" i="31"/>
  <c r="O420" i="31"/>
  <c r="N420" i="31"/>
  <c r="M420" i="31"/>
  <c r="L420" i="31"/>
  <c r="K420" i="31"/>
  <c r="J420" i="31"/>
  <c r="I420" i="31"/>
  <c r="H420" i="31"/>
  <c r="P492" i="29"/>
  <c r="O492" i="29"/>
  <c r="N492" i="29"/>
  <c r="M492" i="29"/>
  <c r="L492" i="29"/>
  <c r="K492" i="29"/>
  <c r="J492" i="29"/>
  <c r="I492" i="29"/>
  <c r="H492" i="29"/>
  <c r="O555" i="29"/>
  <c r="N555" i="29"/>
  <c r="M555" i="29"/>
  <c r="L555" i="29"/>
  <c r="I555" i="29"/>
  <c r="P94" i="31"/>
  <c r="O94" i="31"/>
  <c r="N94" i="31"/>
  <c r="M94" i="31"/>
  <c r="L94" i="31"/>
  <c r="K94" i="31"/>
  <c r="J94" i="31"/>
  <c r="I94" i="31"/>
  <c r="H94" i="31"/>
  <c r="G94" i="31"/>
  <c r="F94" i="31"/>
  <c r="E94" i="31"/>
  <c r="D94" i="31"/>
  <c r="P472" i="29"/>
  <c r="O472" i="29"/>
  <c r="N472" i="29"/>
  <c r="M472" i="29"/>
  <c r="L472" i="29"/>
  <c r="K472" i="29"/>
  <c r="J472" i="29"/>
  <c r="I472" i="29"/>
  <c r="H472" i="29"/>
  <c r="P93" i="31"/>
  <c r="O93" i="31"/>
  <c r="N93" i="31"/>
  <c r="M93" i="31"/>
  <c r="L93" i="31"/>
  <c r="K93" i="31"/>
  <c r="J93" i="31"/>
  <c r="I93" i="31"/>
  <c r="H93" i="31"/>
  <c r="G93" i="31"/>
  <c r="F93" i="31"/>
  <c r="E93" i="31"/>
  <c r="D93" i="31"/>
  <c r="P471" i="29"/>
  <c r="O471" i="29"/>
  <c r="N471" i="29"/>
  <c r="M471" i="29"/>
  <c r="L471" i="29"/>
  <c r="K471" i="29"/>
  <c r="J471" i="29"/>
  <c r="I471" i="29"/>
  <c r="H471" i="29"/>
  <c r="P463" i="29"/>
  <c r="O463" i="29"/>
  <c r="N463" i="29"/>
  <c r="M463" i="29"/>
  <c r="L463" i="29"/>
  <c r="K463" i="29"/>
  <c r="J463" i="29"/>
  <c r="I463" i="29"/>
  <c r="H463" i="29"/>
  <c r="G463" i="29"/>
  <c r="F463" i="29"/>
  <c r="E463" i="29"/>
  <c r="D463" i="29"/>
  <c r="P225" i="29"/>
  <c r="O225" i="29"/>
  <c r="N225" i="29"/>
  <c r="M225" i="29"/>
  <c r="L225" i="29"/>
  <c r="K225" i="29"/>
  <c r="J225" i="29"/>
  <c r="I225" i="29"/>
  <c r="H225" i="29"/>
  <c r="G225" i="29"/>
  <c r="F225" i="29"/>
  <c r="E225" i="29"/>
  <c r="D225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P458" i="31"/>
  <c r="O458" i="31"/>
  <c r="N458" i="31"/>
  <c r="M458" i="31"/>
  <c r="L458" i="31"/>
  <c r="K458" i="31"/>
  <c r="J458" i="31"/>
  <c r="I458" i="31"/>
  <c r="H458" i="31"/>
  <c r="G458" i="31"/>
  <c r="F458" i="31"/>
  <c r="E458" i="31"/>
  <c r="D458" i="31"/>
  <c r="P227" i="31"/>
  <c r="O227" i="31"/>
  <c r="N227" i="31"/>
  <c r="M227" i="31"/>
  <c r="L227" i="31"/>
  <c r="K227" i="31"/>
  <c r="J227" i="31"/>
  <c r="I227" i="31"/>
  <c r="H227" i="31"/>
  <c r="G227" i="31"/>
  <c r="F227" i="31"/>
  <c r="E227" i="31"/>
  <c r="D227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Q602" i="29" l="1"/>
  <c r="Q583" i="29"/>
  <c r="P459" i="29"/>
  <c r="O459" i="29"/>
  <c r="N459" i="29"/>
  <c r="M459" i="29"/>
  <c r="L459" i="29"/>
  <c r="K459" i="29"/>
  <c r="J459" i="29"/>
  <c r="I459" i="29"/>
  <c r="H459" i="29"/>
  <c r="P191" i="31"/>
  <c r="O191" i="31"/>
  <c r="N191" i="31"/>
  <c r="M191" i="31"/>
  <c r="L191" i="31"/>
  <c r="K191" i="31"/>
  <c r="J191" i="31"/>
  <c r="I191" i="31"/>
  <c r="H191" i="31"/>
  <c r="G191" i="31"/>
  <c r="F191" i="31"/>
  <c r="E191" i="31"/>
  <c r="D191" i="31"/>
  <c r="P448" i="29"/>
  <c r="O448" i="29"/>
  <c r="N448" i="29"/>
  <c r="M448" i="29"/>
  <c r="L448" i="29"/>
  <c r="K448" i="29"/>
  <c r="J448" i="29"/>
  <c r="I448" i="29"/>
  <c r="H448" i="29"/>
  <c r="P439" i="29"/>
  <c r="O439" i="29"/>
  <c r="N439" i="29"/>
  <c r="M439" i="29"/>
  <c r="L439" i="29"/>
  <c r="K439" i="29"/>
  <c r="J439" i="29"/>
  <c r="I439" i="29"/>
  <c r="H439" i="29"/>
  <c r="G439" i="29"/>
  <c r="F439" i="29"/>
  <c r="E439" i="29"/>
  <c r="D439" i="29"/>
  <c r="P308" i="31"/>
  <c r="O308" i="31"/>
  <c r="N308" i="31"/>
  <c r="M308" i="31"/>
  <c r="L308" i="31"/>
  <c r="K308" i="31"/>
  <c r="J308" i="31"/>
  <c r="I308" i="31"/>
  <c r="H308" i="31"/>
  <c r="G308" i="31"/>
  <c r="F308" i="31"/>
  <c r="E308" i="31"/>
  <c r="D308" i="31"/>
  <c r="P435" i="31"/>
  <c r="O435" i="31"/>
  <c r="N435" i="31"/>
  <c r="M435" i="31"/>
  <c r="L435" i="31"/>
  <c r="K435" i="31"/>
  <c r="J435" i="31"/>
  <c r="I435" i="31"/>
  <c r="H435" i="31"/>
  <c r="G435" i="31"/>
  <c r="F435" i="31"/>
  <c r="E435" i="31"/>
  <c r="D435" i="31"/>
  <c r="P424" i="29"/>
  <c r="K424" i="29"/>
  <c r="J424" i="29"/>
  <c r="I424" i="29"/>
  <c r="H424" i="29"/>
  <c r="G424" i="29"/>
  <c r="F424" i="29"/>
  <c r="E424" i="29"/>
  <c r="D424" i="29"/>
  <c r="P449" i="29"/>
  <c r="K449" i="29"/>
  <c r="J449" i="29"/>
  <c r="I449" i="29"/>
  <c r="H449" i="29"/>
  <c r="G449" i="29"/>
  <c r="F449" i="29"/>
  <c r="E449" i="29"/>
  <c r="D449" i="29"/>
  <c r="P262" i="31"/>
  <c r="K262" i="31"/>
  <c r="J262" i="31"/>
  <c r="I262" i="31"/>
  <c r="H262" i="31"/>
  <c r="G262" i="31"/>
  <c r="F262" i="31"/>
  <c r="E262" i="31"/>
  <c r="D262" i="31"/>
  <c r="P192" i="31"/>
  <c r="K192" i="31"/>
  <c r="J192" i="31"/>
  <c r="I192" i="31"/>
  <c r="H192" i="31"/>
  <c r="G192" i="31"/>
  <c r="F192" i="31"/>
  <c r="E192" i="31"/>
  <c r="D192" i="31"/>
  <c r="P119" i="31"/>
  <c r="K119" i="31"/>
  <c r="J119" i="31"/>
  <c r="I119" i="31"/>
  <c r="H119" i="31"/>
  <c r="G119" i="31"/>
  <c r="F119" i="31"/>
  <c r="E119" i="31"/>
  <c r="D119" i="31"/>
  <c r="P423" i="29"/>
  <c r="P261" i="31"/>
  <c r="O261" i="31"/>
  <c r="N261" i="31"/>
  <c r="M261" i="31"/>
  <c r="L261" i="31"/>
  <c r="K261" i="31"/>
  <c r="J261" i="31"/>
  <c r="I261" i="31"/>
  <c r="H261" i="31"/>
  <c r="G261" i="31"/>
  <c r="F261" i="31"/>
  <c r="E261" i="31"/>
  <c r="D261" i="31"/>
  <c r="N423" i="29"/>
  <c r="O423" i="29"/>
  <c r="M423" i="29"/>
  <c r="L423" i="29"/>
  <c r="K423" i="29"/>
  <c r="J423" i="29"/>
  <c r="H423" i="29"/>
  <c r="P422" i="29"/>
  <c r="O422" i="29"/>
  <c r="N422" i="29"/>
  <c r="M422" i="29"/>
  <c r="L422" i="29"/>
  <c r="K422" i="29"/>
  <c r="J422" i="29"/>
  <c r="I422" i="29"/>
  <c r="H422" i="29"/>
  <c r="G422" i="29"/>
  <c r="F422" i="29"/>
  <c r="E422" i="29"/>
  <c r="D422" i="29"/>
  <c r="P558" i="31"/>
  <c r="O558" i="31"/>
  <c r="N558" i="31"/>
  <c r="M558" i="31"/>
  <c r="L558" i="31"/>
  <c r="K558" i="31"/>
  <c r="J558" i="31"/>
  <c r="I558" i="31"/>
  <c r="H558" i="31"/>
  <c r="G558" i="31"/>
  <c r="F558" i="31"/>
  <c r="E558" i="31"/>
  <c r="D558" i="31"/>
  <c r="P213" i="31"/>
  <c r="O213" i="31"/>
  <c r="N213" i="31"/>
  <c r="M213" i="31"/>
  <c r="L213" i="31"/>
  <c r="K213" i="31"/>
  <c r="J213" i="31"/>
  <c r="I213" i="31"/>
  <c r="H213" i="31"/>
  <c r="G213" i="31"/>
  <c r="F213" i="31"/>
  <c r="E213" i="31"/>
  <c r="D213" i="31"/>
  <c r="O392" i="31"/>
  <c r="N392" i="31"/>
  <c r="M392" i="31"/>
  <c r="L392" i="31"/>
  <c r="I392" i="31"/>
  <c r="O394" i="29"/>
  <c r="N394" i="29"/>
  <c r="M394" i="29"/>
  <c r="L394" i="29"/>
  <c r="I394" i="29"/>
  <c r="P390" i="29"/>
  <c r="O390" i="29"/>
  <c r="N390" i="29"/>
  <c r="I390" i="29"/>
  <c r="H390" i="29"/>
  <c r="P167" i="31"/>
  <c r="O167" i="31"/>
  <c r="N167" i="31"/>
  <c r="M167" i="31"/>
  <c r="L167" i="31"/>
  <c r="K167" i="31"/>
  <c r="I167" i="31"/>
  <c r="H167" i="31"/>
  <c r="G167" i="31"/>
  <c r="F167" i="31"/>
  <c r="E167" i="31"/>
  <c r="Q167" i="31" s="1"/>
  <c r="D167" i="31"/>
  <c r="P377" i="29"/>
  <c r="O377" i="29"/>
  <c r="N377" i="29"/>
  <c r="M377" i="29"/>
  <c r="L377" i="29"/>
  <c r="K377" i="29"/>
  <c r="I377" i="29"/>
  <c r="H377" i="29"/>
  <c r="P321" i="31"/>
  <c r="O321" i="31"/>
  <c r="N321" i="31"/>
  <c r="M321" i="31"/>
  <c r="L321" i="31"/>
  <c r="K321" i="31"/>
  <c r="J321" i="31"/>
  <c r="I321" i="31"/>
  <c r="H321" i="31"/>
  <c r="G321" i="31"/>
  <c r="F321" i="31"/>
  <c r="E321" i="31"/>
  <c r="D321" i="31"/>
  <c r="P320" i="29"/>
  <c r="O320" i="29"/>
  <c r="N320" i="29"/>
  <c r="M320" i="29"/>
  <c r="L320" i="29"/>
  <c r="K320" i="29"/>
  <c r="J320" i="29"/>
  <c r="I320" i="29"/>
  <c r="H320" i="29"/>
  <c r="P47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P281" i="29"/>
  <c r="O281" i="29"/>
  <c r="N281" i="29"/>
  <c r="M281" i="29"/>
  <c r="L281" i="29"/>
  <c r="K281" i="29"/>
  <c r="J281" i="29"/>
  <c r="I281" i="29"/>
  <c r="H281" i="29"/>
  <c r="P280" i="29"/>
  <c r="O280" i="29"/>
  <c r="N280" i="29"/>
  <c r="M280" i="29"/>
  <c r="L280" i="29"/>
  <c r="K280" i="29"/>
  <c r="J280" i="29"/>
  <c r="I280" i="29"/>
  <c r="H280" i="29"/>
  <c r="G280" i="29"/>
  <c r="F280" i="29"/>
  <c r="E280" i="29"/>
  <c r="D280" i="29"/>
  <c r="P46" i="31"/>
  <c r="O46" i="31"/>
  <c r="N46" i="31"/>
  <c r="M46" i="31"/>
  <c r="L46" i="31"/>
  <c r="K46" i="31"/>
  <c r="J46" i="31"/>
  <c r="I46" i="31"/>
  <c r="H46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P375" i="29"/>
  <c r="O375" i="29"/>
  <c r="N375" i="29"/>
  <c r="M375" i="29"/>
  <c r="L375" i="29"/>
  <c r="K375" i="29"/>
  <c r="J375" i="29"/>
  <c r="I375" i="29"/>
  <c r="H375" i="29"/>
  <c r="P370" i="31"/>
  <c r="O370" i="31"/>
  <c r="N370" i="31"/>
  <c r="M370" i="31"/>
  <c r="L370" i="31"/>
  <c r="K370" i="31"/>
  <c r="J370" i="31"/>
  <c r="I370" i="31"/>
  <c r="H370" i="31"/>
  <c r="G370" i="31"/>
  <c r="F370" i="31"/>
  <c r="E370" i="31"/>
  <c r="D370" i="31"/>
  <c r="P370" i="29"/>
  <c r="O370" i="29"/>
  <c r="N370" i="29"/>
  <c r="M370" i="29"/>
  <c r="L370" i="29"/>
  <c r="K370" i="29"/>
  <c r="J370" i="29"/>
  <c r="I370" i="29"/>
  <c r="H370" i="29"/>
  <c r="P190" i="31"/>
  <c r="O190" i="31"/>
  <c r="N190" i="31"/>
  <c r="M190" i="31"/>
  <c r="L190" i="31"/>
  <c r="K190" i="31"/>
  <c r="J190" i="31"/>
  <c r="I190" i="31"/>
  <c r="H190" i="31"/>
  <c r="G190" i="31"/>
  <c r="F190" i="31"/>
  <c r="E190" i="31"/>
  <c r="D190" i="31"/>
  <c r="P354" i="29"/>
  <c r="O354" i="29"/>
  <c r="N354" i="29"/>
  <c r="M354" i="29"/>
  <c r="L354" i="29"/>
  <c r="K354" i="29"/>
  <c r="J354" i="29"/>
  <c r="I354" i="29"/>
  <c r="H354" i="29"/>
  <c r="P353" i="29"/>
  <c r="O353" i="29"/>
  <c r="N353" i="29"/>
  <c r="M353" i="29"/>
  <c r="L353" i="29"/>
  <c r="K353" i="29"/>
  <c r="J353" i="29"/>
  <c r="I353" i="29"/>
  <c r="H353" i="29"/>
  <c r="P141" i="31"/>
  <c r="O141" i="31"/>
  <c r="N141" i="31"/>
  <c r="M141" i="31"/>
  <c r="L141" i="31"/>
  <c r="K141" i="31"/>
  <c r="J141" i="31"/>
  <c r="I141" i="31"/>
  <c r="H141" i="31"/>
  <c r="G141" i="31"/>
  <c r="F141" i="31"/>
  <c r="E141" i="31"/>
  <c r="D141" i="31"/>
  <c r="P337" i="31"/>
  <c r="P340" i="31" s="1"/>
  <c r="O337" i="31"/>
  <c r="O340" i="31" s="1"/>
  <c r="N337" i="31"/>
  <c r="N340" i="31" s="1"/>
  <c r="M337" i="31"/>
  <c r="M340" i="31" s="1"/>
  <c r="L337" i="31"/>
  <c r="L340" i="31" s="1"/>
  <c r="K337" i="31"/>
  <c r="K340" i="31" s="1"/>
  <c r="J337" i="31"/>
  <c r="J340" i="31" s="1"/>
  <c r="I337" i="31"/>
  <c r="I340" i="31" s="1"/>
  <c r="H337" i="31"/>
  <c r="H340" i="31" s="1"/>
  <c r="G337" i="31"/>
  <c r="F337" i="31"/>
  <c r="E337" i="31"/>
  <c r="D337" i="31"/>
  <c r="P337" i="29"/>
  <c r="P340" i="29" s="1"/>
  <c r="O337" i="29"/>
  <c r="O340" i="29" s="1"/>
  <c r="N337" i="29"/>
  <c r="N340" i="29" s="1"/>
  <c r="M337" i="29"/>
  <c r="M340" i="29" s="1"/>
  <c r="L337" i="29"/>
  <c r="L340" i="29" s="1"/>
  <c r="K337" i="29"/>
  <c r="K340" i="29" s="1"/>
  <c r="J337" i="29"/>
  <c r="J340" i="29" s="1"/>
  <c r="I337" i="29"/>
  <c r="I340" i="29" s="1"/>
  <c r="H337" i="29"/>
  <c r="H340" i="29" s="1"/>
  <c r="P329" i="29"/>
  <c r="O329" i="29"/>
  <c r="N329" i="29"/>
  <c r="M329" i="29"/>
  <c r="L329" i="29"/>
  <c r="K329" i="29"/>
  <c r="J329" i="29"/>
  <c r="I329" i="29"/>
  <c r="H329" i="29"/>
  <c r="P313" i="29"/>
  <c r="O313" i="29"/>
  <c r="N313" i="29"/>
  <c r="M313" i="29"/>
  <c r="L313" i="29"/>
  <c r="K313" i="29"/>
  <c r="K316" i="29" s="1"/>
  <c r="J313" i="29"/>
  <c r="I313" i="29"/>
  <c r="H313" i="29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P303" i="29"/>
  <c r="O303" i="29"/>
  <c r="N303" i="29"/>
  <c r="M303" i="29"/>
  <c r="L303" i="29"/>
  <c r="K303" i="29"/>
  <c r="J303" i="29"/>
  <c r="I303" i="29"/>
  <c r="H303" i="29"/>
  <c r="P295" i="29"/>
  <c r="O295" i="29"/>
  <c r="N295" i="29"/>
  <c r="K295" i="29"/>
  <c r="I295" i="29"/>
  <c r="H295" i="29"/>
  <c r="O275" i="29"/>
  <c r="N275" i="29"/>
  <c r="N276" i="29" s="1"/>
  <c r="M275" i="29"/>
  <c r="L275" i="29"/>
  <c r="I275" i="29"/>
  <c r="P514" i="31"/>
  <c r="O514" i="31"/>
  <c r="N514" i="31"/>
  <c r="M514" i="31"/>
  <c r="L514" i="31"/>
  <c r="K514" i="31"/>
  <c r="J514" i="31"/>
  <c r="I514" i="31"/>
  <c r="H514" i="31"/>
  <c r="G514" i="31"/>
  <c r="F514" i="31"/>
  <c r="E514" i="31"/>
  <c r="D514" i="31"/>
  <c r="P260" i="29"/>
  <c r="O260" i="29"/>
  <c r="N260" i="29"/>
  <c r="M260" i="29"/>
  <c r="L260" i="29"/>
  <c r="J260" i="29"/>
  <c r="I260" i="29"/>
  <c r="P249" i="29"/>
  <c r="O249" i="29"/>
  <c r="N249" i="29"/>
  <c r="I249" i="29"/>
  <c r="H249" i="29"/>
  <c r="O235" i="29"/>
  <c r="N235" i="29"/>
  <c r="M235" i="29"/>
  <c r="L235" i="29"/>
  <c r="K235" i="29"/>
  <c r="I235" i="29"/>
  <c r="P228" i="31"/>
  <c r="O228" i="31"/>
  <c r="N228" i="31"/>
  <c r="M228" i="31"/>
  <c r="L228" i="31"/>
  <c r="K228" i="31"/>
  <c r="J228" i="31"/>
  <c r="I228" i="31"/>
  <c r="H228" i="31"/>
  <c r="G228" i="31"/>
  <c r="F228" i="31"/>
  <c r="E228" i="31"/>
  <c r="D228" i="31"/>
  <c r="P226" i="29"/>
  <c r="O226" i="29"/>
  <c r="N226" i="29"/>
  <c r="M226" i="29"/>
  <c r="L226" i="29"/>
  <c r="K226" i="29"/>
  <c r="J226" i="29"/>
  <c r="I226" i="29"/>
  <c r="H226" i="29"/>
  <c r="P398" i="31"/>
  <c r="O398" i="31"/>
  <c r="N398" i="31"/>
  <c r="M398" i="31"/>
  <c r="L398" i="31"/>
  <c r="K398" i="31"/>
  <c r="J398" i="31"/>
  <c r="I398" i="31"/>
  <c r="H398" i="31"/>
  <c r="P212" i="29"/>
  <c r="O212" i="29"/>
  <c r="N212" i="29"/>
  <c r="M212" i="29"/>
  <c r="L212" i="29"/>
  <c r="K212" i="29"/>
  <c r="J212" i="29"/>
  <c r="I212" i="29"/>
  <c r="H212" i="29"/>
  <c r="O209" i="31"/>
  <c r="N209" i="31"/>
  <c r="M209" i="31"/>
  <c r="L209" i="31"/>
  <c r="I209" i="31"/>
  <c r="O207" i="29"/>
  <c r="N207" i="29"/>
  <c r="M207" i="29"/>
  <c r="L207" i="29"/>
  <c r="I207" i="29"/>
  <c r="P203" i="29"/>
  <c r="O203" i="29"/>
  <c r="N203" i="29"/>
  <c r="I203" i="29"/>
  <c r="H203" i="29"/>
  <c r="P353" i="31"/>
  <c r="O353" i="31"/>
  <c r="N353" i="31"/>
  <c r="M353" i="31"/>
  <c r="L353" i="31"/>
  <c r="K353" i="31"/>
  <c r="I353" i="31"/>
  <c r="H353" i="31"/>
  <c r="G353" i="31"/>
  <c r="F353" i="31"/>
  <c r="E353" i="31"/>
  <c r="D353" i="31"/>
  <c r="P167" i="29"/>
  <c r="O167" i="29"/>
  <c r="N167" i="29"/>
  <c r="M167" i="29"/>
  <c r="L167" i="29"/>
  <c r="K167" i="29"/>
  <c r="J167" i="29"/>
  <c r="I167" i="29"/>
  <c r="H167" i="29"/>
  <c r="G167" i="29"/>
  <c r="F167" i="29"/>
  <c r="E167" i="29"/>
  <c r="D167" i="29"/>
  <c r="P473" i="29"/>
  <c r="O473" i="29"/>
  <c r="N473" i="29"/>
  <c r="M473" i="29"/>
  <c r="L473" i="29"/>
  <c r="K473" i="29"/>
  <c r="J473" i="29"/>
  <c r="I473" i="29"/>
  <c r="H473" i="29"/>
  <c r="G473" i="29"/>
  <c r="F473" i="29"/>
  <c r="E473" i="29"/>
  <c r="D473" i="29"/>
  <c r="P240" i="31"/>
  <c r="O240" i="31"/>
  <c r="N240" i="31"/>
  <c r="M240" i="31"/>
  <c r="L240" i="31"/>
  <c r="K240" i="31"/>
  <c r="J240" i="31"/>
  <c r="I240" i="31"/>
  <c r="H240" i="31"/>
  <c r="G240" i="31"/>
  <c r="F240" i="31"/>
  <c r="E240" i="31"/>
  <c r="D240" i="31"/>
  <c r="P355" i="31"/>
  <c r="O355" i="31"/>
  <c r="N355" i="31"/>
  <c r="M355" i="31"/>
  <c r="L355" i="31"/>
  <c r="K355" i="31"/>
  <c r="J355" i="31"/>
  <c r="I355" i="31"/>
  <c r="H355" i="31"/>
  <c r="G355" i="31"/>
  <c r="F355" i="31"/>
  <c r="E355" i="31"/>
  <c r="D355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P515" i="29"/>
  <c r="O515" i="29"/>
  <c r="N515" i="29"/>
  <c r="M515" i="29"/>
  <c r="L515" i="29"/>
  <c r="K515" i="29"/>
  <c r="J515" i="29"/>
  <c r="I515" i="29"/>
  <c r="H515" i="29"/>
  <c r="P285" i="31"/>
  <c r="O285" i="31"/>
  <c r="N285" i="31"/>
  <c r="M285" i="31"/>
  <c r="L285" i="31"/>
  <c r="K285" i="31"/>
  <c r="J285" i="31"/>
  <c r="I285" i="31"/>
  <c r="H285" i="31"/>
  <c r="G285" i="31"/>
  <c r="F285" i="31"/>
  <c r="E285" i="31"/>
  <c r="D285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P399" i="31"/>
  <c r="O399" i="31"/>
  <c r="N399" i="31"/>
  <c r="M399" i="31"/>
  <c r="L399" i="31"/>
  <c r="K399" i="31"/>
  <c r="J399" i="31"/>
  <c r="I399" i="31"/>
  <c r="H399" i="31"/>
  <c r="G399" i="31"/>
  <c r="F399" i="31"/>
  <c r="E399" i="31"/>
  <c r="D399" i="31"/>
  <c r="P495" i="29"/>
  <c r="O495" i="29"/>
  <c r="N495" i="29"/>
  <c r="M495" i="29"/>
  <c r="L495" i="29"/>
  <c r="K495" i="29"/>
  <c r="J495" i="29"/>
  <c r="I495" i="29"/>
  <c r="H495" i="29"/>
  <c r="G495" i="29"/>
  <c r="F495" i="29"/>
  <c r="E495" i="29"/>
  <c r="D495" i="29"/>
  <c r="P283" i="31"/>
  <c r="O283" i="31"/>
  <c r="N283" i="31"/>
  <c r="M283" i="31"/>
  <c r="L283" i="31"/>
  <c r="K283" i="31"/>
  <c r="J283" i="31"/>
  <c r="H283" i="31"/>
  <c r="G283" i="31"/>
  <c r="F283" i="31"/>
  <c r="E283" i="31"/>
  <c r="D283" i="31"/>
  <c r="P139" i="29"/>
  <c r="O139" i="29"/>
  <c r="N139" i="29"/>
  <c r="M139" i="29"/>
  <c r="L139" i="29"/>
  <c r="K139" i="29"/>
  <c r="J139" i="29"/>
  <c r="H139" i="29"/>
  <c r="P481" i="29"/>
  <c r="P476" i="31"/>
  <c r="P331" i="29"/>
  <c r="O331" i="29"/>
  <c r="N331" i="29"/>
  <c r="M331" i="29"/>
  <c r="L331" i="29"/>
  <c r="K331" i="29"/>
  <c r="J331" i="29"/>
  <c r="I331" i="29"/>
  <c r="H331" i="29"/>
  <c r="G331" i="29"/>
  <c r="F331" i="29"/>
  <c r="E331" i="29"/>
  <c r="D331" i="29"/>
  <c r="P141" i="29"/>
  <c r="O141" i="29"/>
  <c r="N141" i="29"/>
  <c r="M141" i="29"/>
  <c r="L141" i="29"/>
  <c r="K141" i="29"/>
  <c r="J141" i="29"/>
  <c r="I141" i="29"/>
  <c r="H141" i="29"/>
  <c r="G141" i="29"/>
  <c r="F141" i="29"/>
  <c r="E141" i="29"/>
  <c r="D141" i="29"/>
  <c r="P425" i="29"/>
  <c r="O425" i="29"/>
  <c r="N425" i="29"/>
  <c r="M425" i="29"/>
  <c r="L425" i="29"/>
  <c r="K425" i="29"/>
  <c r="J425" i="29"/>
  <c r="I425" i="29"/>
  <c r="H425" i="29"/>
  <c r="G425" i="29"/>
  <c r="F425" i="29"/>
  <c r="E425" i="29"/>
  <c r="D425" i="29"/>
  <c r="P215" i="31"/>
  <c r="O215" i="31"/>
  <c r="N215" i="31"/>
  <c r="M215" i="31"/>
  <c r="L215" i="31"/>
  <c r="K215" i="31"/>
  <c r="J215" i="31"/>
  <c r="I215" i="31"/>
  <c r="H215" i="31"/>
  <c r="G215" i="31"/>
  <c r="F215" i="31"/>
  <c r="E215" i="31"/>
  <c r="D215" i="31"/>
  <c r="P396" i="31"/>
  <c r="O396" i="31"/>
  <c r="N396" i="31"/>
  <c r="M396" i="31"/>
  <c r="L396" i="31"/>
  <c r="K396" i="31"/>
  <c r="J396" i="31"/>
  <c r="I396" i="31"/>
  <c r="H396" i="31"/>
  <c r="G396" i="31"/>
  <c r="F396" i="31"/>
  <c r="E396" i="31"/>
  <c r="D396" i="31"/>
  <c r="P137" i="29"/>
  <c r="O137" i="29"/>
  <c r="N137" i="29"/>
  <c r="M137" i="29"/>
  <c r="L137" i="29"/>
  <c r="K137" i="29"/>
  <c r="J137" i="29"/>
  <c r="I137" i="29"/>
  <c r="H137" i="29"/>
  <c r="P128" i="29"/>
  <c r="O128" i="29"/>
  <c r="N128" i="29"/>
  <c r="M128" i="29"/>
  <c r="L128" i="29"/>
  <c r="K128" i="29"/>
  <c r="J128" i="29"/>
  <c r="I128" i="29"/>
  <c r="H128" i="29"/>
  <c r="P529" i="29"/>
  <c r="O529" i="29"/>
  <c r="N529" i="29"/>
  <c r="M529" i="29"/>
  <c r="L529" i="29"/>
  <c r="K529" i="29"/>
  <c r="J529" i="29"/>
  <c r="I529" i="29"/>
  <c r="H529" i="29"/>
  <c r="P413" i="29"/>
  <c r="O413" i="29"/>
  <c r="N413" i="29"/>
  <c r="M413" i="29"/>
  <c r="L413" i="29"/>
  <c r="K413" i="29"/>
  <c r="J413" i="29"/>
  <c r="I413" i="29"/>
  <c r="H413" i="29"/>
  <c r="P132" i="31"/>
  <c r="O132" i="31"/>
  <c r="N132" i="31"/>
  <c r="M132" i="31"/>
  <c r="L132" i="31"/>
  <c r="K132" i="31"/>
  <c r="J132" i="31"/>
  <c r="I132" i="31"/>
  <c r="H132" i="31"/>
  <c r="P526" i="31"/>
  <c r="O526" i="31"/>
  <c r="N526" i="31"/>
  <c r="M526" i="31"/>
  <c r="L526" i="31"/>
  <c r="K526" i="31"/>
  <c r="J526" i="31"/>
  <c r="I526" i="31"/>
  <c r="H526" i="31"/>
  <c r="P411" i="31"/>
  <c r="O411" i="31"/>
  <c r="N411" i="31"/>
  <c r="M411" i="31"/>
  <c r="L411" i="31"/>
  <c r="K411" i="31"/>
  <c r="J411" i="31"/>
  <c r="I411" i="31"/>
  <c r="H411" i="31"/>
  <c r="P568" i="29"/>
  <c r="P570" i="29" s="1"/>
  <c r="O568" i="29"/>
  <c r="O570" i="29" s="1"/>
  <c r="N568" i="29"/>
  <c r="M568" i="29"/>
  <c r="M570" i="29" s="1"/>
  <c r="L568" i="29"/>
  <c r="L570" i="29" s="1"/>
  <c r="K568" i="29"/>
  <c r="J568" i="29"/>
  <c r="J570" i="29" s="1"/>
  <c r="I568" i="29"/>
  <c r="I570" i="29" s="1"/>
  <c r="H568" i="29"/>
  <c r="H570" i="29" s="1"/>
  <c r="G568" i="29"/>
  <c r="F568" i="29"/>
  <c r="F570" i="29" s="1"/>
  <c r="E568" i="29"/>
  <c r="D568" i="29"/>
  <c r="P123" i="29"/>
  <c r="P124" i="29" s="1"/>
  <c r="O123" i="29"/>
  <c r="O124" i="29" s="1"/>
  <c r="N123" i="29"/>
  <c r="M123" i="29"/>
  <c r="M124" i="29" s="1"/>
  <c r="L123" i="29"/>
  <c r="K123" i="29"/>
  <c r="K124" i="29" s="1"/>
  <c r="J123" i="29"/>
  <c r="I123" i="29"/>
  <c r="H123" i="29"/>
  <c r="G123" i="29"/>
  <c r="F123" i="29"/>
  <c r="E123" i="29"/>
  <c r="D123" i="29"/>
  <c r="P127" i="31"/>
  <c r="P128" i="31" s="1"/>
  <c r="O127" i="31"/>
  <c r="O128" i="31" s="1"/>
  <c r="N127" i="31"/>
  <c r="M127" i="31"/>
  <c r="M128" i="31" s="1"/>
  <c r="L127" i="31"/>
  <c r="K127" i="31"/>
  <c r="K128" i="31" s="1"/>
  <c r="J127" i="31"/>
  <c r="I127" i="31"/>
  <c r="H127" i="31"/>
  <c r="G127" i="31"/>
  <c r="F127" i="31"/>
  <c r="E127" i="31"/>
  <c r="D127" i="31"/>
  <c r="P568" i="31"/>
  <c r="P570" i="31" s="1"/>
  <c r="O568" i="31"/>
  <c r="O570" i="31" s="1"/>
  <c r="N568" i="31"/>
  <c r="M568" i="31"/>
  <c r="M570" i="31" s="1"/>
  <c r="L568" i="31"/>
  <c r="L570" i="31" s="1"/>
  <c r="K568" i="31"/>
  <c r="J568" i="31"/>
  <c r="J570" i="31" s="1"/>
  <c r="I568" i="31"/>
  <c r="I570" i="31" s="1"/>
  <c r="H568" i="31"/>
  <c r="H570" i="31" s="1"/>
  <c r="G568" i="31"/>
  <c r="F568" i="31"/>
  <c r="F570" i="31" s="1"/>
  <c r="E568" i="31"/>
  <c r="D568" i="31"/>
  <c r="P114" i="29"/>
  <c r="O114" i="29"/>
  <c r="M114" i="29"/>
  <c r="L114" i="29"/>
  <c r="K114" i="29"/>
  <c r="J114" i="29"/>
  <c r="I114" i="29"/>
  <c r="H114" i="29"/>
  <c r="P306" i="31"/>
  <c r="O306" i="31"/>
  <c r="N306" i="31"/>
  <c r="M306" i="31"/>
  <c r="L306" i="31"/>
  <c r="K306" i="31"/>
  <c r="J306" i="31"/>
  <c r="I306" i="31"/>
  <c r="H306" i="31"/>
  <c r="G306" i="31"/>
  <c r="F306" i="31"/>
  <c r="E306" i="31"/>
  <c r="D306" i="31"/>
  <c r="O113" i="31"/>
  <c r="N113" i="31"/>
  <c r="M113" i="31"/>
  <c r="L113" i="31"/>
  <c r="I113" i="31"/>
  <c r="O109" i="29"/>
  <c r="N109" i="29"/>
  <c r="M109" i="29"/>
  <c r="L109" i="29"/>
  <c r="I109" i="29"/>
  <c r="P92" i="29"/>
  <c r="O92" i="29"/>
  <c r="N92" i="29"/>
  <c r="M92" i="29"/>
  <c r="L92" i="29"/>
  <c r="K92" i="29"/>
  <c r="J92" i="29"/>
  <c r="I92" i="29"/>
  <c r="H92" i="29"/>
  <c r="G92" i="29"/>
  <c r="F92" i="29"/>
  <c r="E92" i="29"/>
  <c r="D92" i="29"/>
  <c r="P450" i="29"/>
  <c r="O450" i="29"/>
  <c r="N450" i="29"/>
  <c r="M450" i="29"/>
  <c r="L450" i="29"/>
  <c r="K450" i="29"/>
  <c r="J450" i="29"/>
  <c r="I450" i="29"/>
  <c r="H450" i="29"/>
  <c r="G450" i="29"/>
  <c r="F450" i="29"/>
  <c r="E450" i="29"/>
  <c r="D450" i="29"/>
  <c r="P378" i="29"/>
  <c r="O378" i="29"/>
  <c r="N378" i="29"/>
  <c r="M378" i="29"/>
  <c r="L378" i="29"/>
  <c r="K378" i="29"/>
  <c r="J378" i="29"/>
  <c r="I378" i="29"/>
  <c r="H378" i="29"/>
  <c r="G378" i="29"/>
  <c r="F378" i="29"/>
  <c r="E378" i="29"/>
  <c r="D378" i="29"/>
  <c r="P282" i="29"/>
  <c r="O282" i="29"/>
  <c r="N282" i="29"/>
  <c r="M282" i="29"/>
  <c r="L282" i="29"/>
  <c r="K282" i="29"/>
  <c r="J282" i="29"/>
  <c r="I282" i="29"/>
  <c r="H282" i="29"/>
  <c r="G282" i="29"/>
  <c r="F282" i="29"/>
  <c r="E282" i="29"/>
  <c r="D282" i="29"/>
  <c r="P144" i="31"/>
  <c r="O144" i="31"/>
  <c r="N144" i="31"/>
  <c r="M144" i="31"/>
  <c r="L144" i="31"/>
  <c r="K144" i="31"/>
  <c r="J144" i="31"/>
  <c r="I144" i="31"/>
  <c r="H144" i="31"/>
  <c r="G144" i="31"/>
  <c r="F144" i="31"/>
  <c r="E144" i="31"/>
  <c r="D144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P561" i="31"/>
  <c r="O561" i="31"/>
  <c r="N561" i="31"/>
  <c r="M561" i="31"/>
  <c r="L561" i="31"/>
  <c r="K561" i="31"/>
  <c r="J561" i="31"/>
  <c r="I561" i="31"/>
  <c r="H561" i="31"/>
  <c r="G561" i="31"/>
  <c r="F561" i="31"/>
  <c r="E561" i="31"/>
  <c r="D561" i="31"/>
  <c r="P491" i="31"/>
  <c r="O491" i="31"/>
  <c r="N491" i="31"/>
  <c r="M491" i="31"/>
  <c r="L491" i="31"/>
  <c r="K491" i="31"/>
  <c r="J491" i="31"/>
  <c r="I491" i="31"/>
  <c r="H491" i="31"/>
  <c r="G491" i="31"/>
  <c r="F491" i="31"/>
  <c r="E491" i="31"/>
  <c r="D491" i="31"/>
  <c r="P442" i="31"/>
  <c r="O442" i="31"/>
  <c r="N442" i="31"/>
  <c r="M442" i="31"/>
  <c r="L442" i="31"/>
  <c r="K442" i="31"/>
  <c r="J442" i="31"/>
  <c r="I442" i="31"/>
  <c r="H442" i="31"/>
  <c r="G442" i="31"/>
  <c r="F442" i="31"/>
  <c r="E442" i="31"/>
  <c r="D442" i="31"/>
  <c r="P90" i="29"/>
  <c r="O90" i="29"/>
  <c r="N90" i="29"/>
  <c r="M90" i="29"/>
  <c r="L90" i="29"/>
  <c r="K90" i="29"/>
  <c r="J90" i="29"/>
  <c r="I90" i="29"/>
  <c r="H90" i="29"/>
  <c r="P82" i="29"/>
  <c r="O82" i="29"/>
  <c r="N82" i="29"/>
  <c r="I82" i="29"/>
  <c r="H82" i="29"/>
  <c r="G443" i="31"/>
  <c r="F443" i="31"/>
  <c r="E443" i="31"/>
  <c r="D443" i="31"/>
  <c r="L64" i="29"/>
  <c r="K64" i="29"/>
  <c r="H64" i="29"/>
  <c r="P52" i="29"/>
  <c r="J52" i="29"/>
  <c r="E52" i="29"/>
  <c r="P525" i="29"/>
  <c r="O525" i="29"/>
  <c r="L525" i="29"/>
  <c r="J525" i="29"/>
  <c r="G525" i="29"/>
  <c r="F525" i="29"/>
  <c r="E525" i="29"/>
  <c r="P386" i="29"/>
  <c r="P522" i="31"/>
  <c r="O522" i="31"/>
  <c r="L522" i="31"/>
  <c r="J522" i="31"/>
  <c r="G522" i="31"/>
  <c r="F522" i="31"/>
  <c r="E522" i="31"/>
  <c r="P384" i="31"/>
  <c r="P56" i="31"/>
  <c r="J56" i="31"/>
  <c r="E56" i="31"/>
  <c r="P511" i="31"/>
  <c r="O511" i="31"/>
  <c r="N511" i="31"/>
  <c r="M511" i="31"/>
  <c r="L511" i="31"/>
  <c r="K511" i="31"/>
  <c r="J511" i="31"/>
  <c r="I511" i="31"/>
  <c r="H511" i="31"/>
  <c r="G511" i="31"/>
  <c r="F511" i="31"/>
  <c r="E511" i="31"/>
  <c r="D511" i="31"/>
  <c r="O43" i="29"/>
  <c r="N43" i="29"/>
  <c r="M43" i="29"/>
  <c r="L43" i="29"/>
  <c r="K43" i="29"/>
  <c r="I43" i="29"/>
  <c r="H43" i="29"/>
  <c r="O35" i="31"/>
  <c r="N35" i="31"/>
  <c r="M35" i="31"/>
  <c r="L35" i="31"/>
  <c r="K35" i="31"/>
  <c r="J35" i="31"/>
  <c r="I35" i="31"/>
  <c r="H35" i="31"/>
  <c r="G35" i="31"/>
  <c r="F35" i="31"/>
  <c r="E35" i="31"/>
  <c r="D35" i="31"/>
  <c r="P288" i="29"/>
  <c r="P290" i="29" s="1"/>
  <c r="O288" i="29"/>
  <c r="O290" i="29" s="1"/>
  <c r="N288" i="29"/>
  <c r="M288" i="29"/>
  <c r="M290" i="29" s="1"/>
  <c r="L288" i="29"/>
  <c r="K288" i="29"/>
  <c r="K290" i="29" s="1"/>
  <c r="J288" i="29"/>
  <c r="I288" i="29"/>
  <c r="H288" i="29"/>
  <c r="G288" i="29"/>
  <c r="F288" i="29"/>
  <c r="E288" i="29"/>
  <c r="D288" i="29"/>
  <c r="P27" i="29"/>
  <c r="P29" i="29" s="1"/>
  <c r="O27" i="29"/>
  <c r="N27" i="29"/>
  <c r="M27" i="29"/>
  <c r="L27" i="29"/>
  <c r="K27" i="29"/>
  <c r="J27" i="29"/>
  <c r="I27" i="29"/>
  <c r="H27" i="29"/>
  <c r="G27" i="29"/>
  <c r="F27" i="29"/>
  <c r="E27" i="29"/>
  <c r="D27" i="29"/>
  <c r="P291" i="31"/>
  <c r="P293" i="31" s="1"/>
  <c r="O291" i="31"/>
  <c r="O293" i="31" s="1"/>
  <c r="N291" i="31"/>
  <c r="M291" i="31"/>
  <c r="M293" i="31" s="1"/>
  <c r="L291" i="31"/>
  <c r="K291" i="31"/>
  <c r="K293" i="31" s="1"/>
  <c r="J291" i="31"/>
  <c r="I291" i="31"/>
  <c r="H291" i="31"/>
  <c r="G291" i="31"/>
  <c r="F291" i="31"/>
  <c r="E291" i="31"/>
  <c r="D291" i="31"/>
  <c r="P28" i="31"/>
  <c r="P30" i="31" s="1"/>
  <c r="O28" i="31"/>
  <c r="N28" i="31"/>
  <c r="M28" i="31"/>
  <c r="L28" i="31"/>
  <c r="K28" i="31"/>
  <c r="J28" i="31"/>
  <c r="I28" i="31"/>
  <c r="H28" i="31"/>
  <c r="G28" i="31"/>
  <c r="F28" i="31"/>
  <c r="E28" i="31"/>
  <c r="D28" i="31"/>
  <c r="P261" i="29"/>
  <c r="O261" i="29"/>
  <c r="N261" i="29"/>
  <c r="M261" i="29"/>
  <c r="L261" i="29"/>
  <c r="K261" i="29"/>
  <c r="J261" i="29"/>
  <c r="I261" i="29"/>
  <c r="H261" i="29"/>
  <c r="G261" i="29"/>
  <c r="F261" i="29"/>
  <c r="E261" i="29"/>
  <c r="D261" i="29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P264" i="31"/>
  <c r="O264" i="31"/>
  <c r="N264" i="31"/>
  <c r="M264" i="31"/>
  <c r="L264" i="31"/>
  <c r="K264" i="31"/>
  <c r="J264" i="31"/>
  <c r="I264" i="31"/>
  <c r="H264" i="31"/>
  <c r="G264" i="31"/>
  <c r="F264" i="31"/>
  <c r="E264" i="31"/>
  <c r="D264" i="31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P401" i="29"/>
  <c r="O401" i="29"/>
  <c r="N401" i="29"/>
  <c r="M401" i="29"/>
  <c r="L401" i="29"/>
  <c r="K401" i="29"/>
  <c r="J401" i="29"/>
  <c r="I401" i="29"/>
  <c r="H401" i="29"/>
  <c r="G401" i="29"/>
  <c r="F401" i="29"/>
  <c r="E401" i="29"/>
  <c r="D401" i="29"/>
  <c r="P307" i="29"/>
  <c r="O307" i="29"/>
  <c r="N307" i="29"/>
  <c r="M307" i="29"/>
  <c r="L307" i="29"/>
  <c r="K307" i="29"/>
  <c r="J307" i="29"/>
  <c r="I307" i="29"/>
  <c r="H307" i="29"/>
  <c r="G307" i="29"/>
  <c r="F307" i="29"/>
  <c r="E307" i="29"/>
  <c r="D307" i="29"/>
  <c r="P116" i="29"/>
  <c r="O116" i="29"/>
  <c r="N116" i="29"/>
  <c r="M116" i="29"/>
  <c r="L116" i="29"/>
  <c r="K116" i="29"/>
  <c r="J116" i="29"/>
  <c r="I116" i="29"/>
  <c r="H116" i="29"/>
  <c r="G116" i="29"/>
  <c r="F116" i="29"/>
  <c r="E116" i="29"/>
  <c r="D116" i="29"/>
  <c r="P539" i="31"/>
  <c r="O539" i="31"/>
  <c r="N539" i="31"/>
  <c r="M539" i="31"/>
  <c r="L539" i="31"/>
  <c r="K539" i="31"/>
  <c r="J539" i="31"/>
  <c r="I539" i="31"/>
  <c r="H539" i="31"/>
  <c r="G539" i="31"/>
  <c r="F539" i="31"/>
  <c r="E539" i="31"/>
  <c r="D539" i="31"/>
  <c r="P445" i="31"/>
  <c r="O445" i="31"/>
  <c r="N445" i="31"/>
  <c r="M445" i="31"/>
  <c r="L445" i="31"/>
  <c r="K445" i="31"/>
  <c r="J445" i="31"/>
  <c r="I445" i="31"/>
  <c r="H445" i="31"/>
  <c r="G445" i="31"/>
  <c r="F445" i="31"/>
  <c r="E445" i="31"/>
  <c r="D445" i="31"/>
  <c r="P263" i="31"/>
  <c r="O263" i="31"/>
  <c r="N263" i="31"/>
  <c r="M263" i="31"/>
  <c r="L263" i="31"/>
  <c r="K263" i="31"/>
  <c r="J263" i="31"/>
  <c r="I263" i="31"/>
  <c r="H263" i="31"/>
  <c r="G263" i="31"/>
  <c r="F263" i="31"/>
  <c r="E263" i="31"/>
  <c r="D263" i="31"/>
  <c r="P193" i="31"/>
  <c r="O193" i="31"/>
  <c r="N193" i="31"/>
  <c r="M193" i="31"/>
  <c r="L193" i="31"/>
  <c r="K193" i="31"/>
  <c r="J193" i="31"/>
  <c r="I193" i="31"/>
  <c r="H193" i="31"/>
  <c r="G193" i="31"/>
  <c r="F193" i="31"/>
  <c r="E193" i="31"/>
  <c r="D193" i="31"/>
  <c r="P538" i="31"/>
  <c r="O538" i="31"/>
  <c r="N538" i="31"/>
  <c r="M538" i="31"/>
  <c r="L538" i="31"/>
  <c r="K538" i="31"/>
  <c r="J538" i="31"/>
  <c r="I538" i="31"/>
  <c r="H538" i="31"/>
  <c r="G538" i="31"/>
  <c r="F538" i="31"/>
  <c r="E538" i="31"/>
  <c r="D538" i="31"/>
  <c r="P19" i="29"/>
  <c r="O19" i="29"/>
  <c r="N19" i="29"/>
  <c r="M19" i="29"/>
  <c r="L19" i="29"/>
  <c r="K19" i="29"/>
  <c r="J19" i="29"/>
  <c r="I19" i="29"/>
  <c r="H19" i="29"/>
  <c r="P282" i="31"/>
  <c r="O282" i="31"/>
  <c r="N282" i="31"/>
  <c r="M282" i="31"/>
  <c r="L282" i="31"/>
  <c r="K282" i="31"/>
  <c r="J282" i="31"/>
  <c r="I282" i="31"/>
  <c r="H282" i="31"/>
  <c r="G282" i="31"/>
  <c r="F282" i="31"/>
  <c r="E282" i="31"/>
  <c r="D282" i="31"/>
  <c r="P18" i="29"/>
  <c r="O18" i="29"/>
  <c r="N18" i="29"/>
  <c r="M18" i="29"/>
  <c r="L18" i="29"/>
  <c r="K18" i="29"/>
  <c r="J18" i="29"/>
  <c r="I18" i="29"/>
  <c r="H18" i="29"/>
  <c r="O14" i="31"/>
  <c r="N14" i="31"/>
  <c r="M14" i="31"/>
  <c r="L14" i="31"/>
  <c r="I14" i="31"/>
  <c r="G14" i="31"/>
  <c r="F14" i="31"/>
  <c r="D14" i="31"/>
  <c r="P13" i="31"/>
  <c r="O13" i="31"/>
  <c r="N13" i="31"/>
  <c r="M13" i="31"/>
  <c r="L13" i="31"/>
  <c r="K13" i="31"/>
  <c r="I13" i="31"/>
  <c r="H13" i="31"/>
  <c r="G13" i="31"/>
  <c r="F13" i="31"/>
  <c r="E13" i="31"/>
  <c r="D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O11" i="31"/>
  <c r="N11" i="31"/>
  <c r="L11" i="31"/>
  <c r="J11" i="31"/>
  <c r="I11" i="31"/>
  <c r="H11" i="31"/>
  <c r="G11" i="31"/>
  <c r="F11" i="31"/>
  <c r="E11" i="31"/>
  <c r="D11" i="31"/>
  <c r="I13" i="29"/>
  <c r="O14" i="29"/>
  <c r="N14" i="29"/>
  <c r="M14" i="29"/>
  <c r="L14" i="29"/>
  <c r="I14" i="29"/>
  <c r="P10" i="29"/>
  <c r="O10" i="29"/>
  <c r="N10" i="29"/>
  <c r="I10" i="29"/>
  <c r="H10" i="29"/>
  <c r="Q148" i="31" l="1"/>
  <c r="Q579" i="31" s="1"/>
  <c r="Q173" i="31"/>
  <c r="D15" i="31"/>
  <c r="F15" i="31"/>
  <c r="H15" i="31"/>
  <c r="J15" i="31"/>
  <c r="L15" i="31"/>
  <c r="N15" i="31"/>
  <c r="P15" i="31"/>
  <c r="E15" i="31"/>
  <c r="G15" i="31"/>
  <c r="I15" i="31"/>
  <c r="K15" i="31"/>
  <c r="M15" i="31"/>
  <c r="O15" i="31"/>
  <c r="M276" i="29"/>
  <c r="G526" i="31"/>
  <c r="F526" i="31"/>
  <c r="E526" i="31"/>
  <c r="D526" i="31"/>
  <c r="O177" i="31"/>
  <c r="N176" i="31"/>
  <c r="N177" i="31" s="1"/>
  <c r="M176" i="31"/>
  <c r="M177" i="31" s="1"/>
  <c r="L176" i="31"/>
  <c r="L177" i="31" s="1"/>
  <c r="K176" i="31"/>
  <c r="K177" i="31" s="1"/>
  <c r="J176" i="31"/>
  <c r="J177" i="31" s="1"/>
  <c r="I176" i="31"/>
  <c r="H176" i="31"/>
  <c r="G176" i="31"/>
  <c r="F176" i="31"/>
  <c r="E176" i="31"/>
  <c r="D176" i="31"/>
  <c r="O432" i="29"/>
  <c r="O433" i="29" s="1"/>
  <c r="N432" i="29"/>
  <c r="N433" i="29" s="1"/>
  <c r="M432" i="29"/>
  <c r="M433" i="29" s="1"/>
  <c r="L432" i="29"/>
  <c r="L433" i="29" s="1"/>
  <c r="K432" i="29"/>
  <c r="K433" i="29" s="1"/>
  <c r="J432" i="29"/>
  <c r="J433" i="29" s="1"/>
  <c r="I432" i="29"/>
  <c r="I433" i="29" s="1"/>
  <c r="H432" i="29"/>
  <c r="H433" i="29" s="1"/>
  <c r="G432" i="29"/>
  <c r="F432" i="29"/>
  <c r="E432" i="29"/>
  <c r="E433" i="29" s="1"/>
  <c r="D432" i="29"/>
  <c r="D433" i="29" s="1"/>
  <c r="D428" i="31"/>
  <c r="D429" i="31" s="1"/>
  <c r="E428" i="31"/>
  <c r="E429" i="31" s="1"/>
  <c r="F428" i="31"/>
  <c r="G428" i="31"/>
  <c r="H428" i="31"/>
  <c r="H429" i="31" s="1"/>
  <c r="I428" i="31"/>
  <c r="I429" i="31" s="1"/>
  <c r="J428" i="31"/>
  <c r="J429" i="31" s="1"/>
  <c r="K428" i="31"/>
  <c r="K429" i="31" s="1"/>
  <c r="L428" i="31"/>
  <c r="L429" i="31" s="1"/>
  <c r="M428" i="31"/>
  <c r="M429" i="31" s="1"/>
  <c r="N428" i="31"/>
  <c r="N429" i="31" s="1"/>
  <c r="O428" i="31"/>
  <c r="O429" i="31" s="1"/>
  <c r="O175" i="29"/>
  <c r="O176" i="29" s="1"/>
  <c r="N175" i="29"/>
  <c r="N176" i="29" s="1"/>
  <c r="M175" i="29"/>
  <c r="M176" i="29" s="1"/>
  <c r="L175" i="29"/>
  <c r="L176" i="29" s="1"/>
  <c r="K175" i="29"/>
  <c r="K176" i="29" s="1"/>
  <c r="J175" i="29"/>
  <c r="J176" i="29" s="1"/>
  <c r="I175" i="29"/>
  <c r="H175" i="29"/>
  <c r="G175" i="29"/>
  <c r="F175" i="29"/>
  <c r="E175" i="29"/>
  <c r="D175" i="29"/>
  <c r="D322" i="31"/>
  <c r="E322" i="31"/>
  <c r="F322" i="31"/>
  <c r="G322" i="31"/>
  <c r="H322" i="31"/>
  <c r="I322" i="31"/>
  <c r="J322" i="31"/>
  <c r="K322" i="31"/>
  <c r="L322" i="31"/>
  <c r="M322" i="31"/>
  <c r="N322" i="31"/>
  <c r="O322" i="31"/>
  <c r="P322" i="31"/>
  <c r="G250" i="29" l="1"/>
  <c r="F250" i="29"/>
  <c r="G115" i="29"/>
  <c r="F115" i="29"/>
  <c r="E115" i="29"/>
  <c r="D115" i="29"/>
  <c r="P560" i="29"/>
  <c r="O560" i="29"/>
  <c r="N560" i="29"/>
  <c r="M560" i="29"/>
  <c r="L560" i="29"/>
  <c r="K560" i="29"/>
  <c r="J560" i="29"/>
  <c r="I560" i="29"/>
  <c r="H560" i="29"/>
  <c r="G560" i="29"/>
  <c r="F560" i="29"/>
  <c r="E560" i="29"/>
  <c r="D560" i="29"/>
  <c r="P559" i="29"/>
  <c r="O559" i="29"/>
  <c r="N559" i="29"/>
  <c r="M559" i="29"/>
  <c r="L559" i="29"/>
  <c r="K559" i="29"/>
  <c r="J559" i="29"/>
  <c r="I559" i="29"/>
  <c r="H559" i="29"/>
  <c r="G559" i="29"/>
  <c r="F559" i="29"/>
  <c r="E559" i="29"/>
  <c r="D559" i="29"/>
  <c r="G406" i="31" l="1"/>
  <c r="F406" i="31"/>
  <c r="E406" i="31"/>
  <c r="D406" i="31"/>
  <c r="D407" i="31" s="1"/>
  <c r="F408" i="29"/>
  <c r="E408" i="29"/>
  <c r="D408" i="29"/>
  <c r="N569" i="31" l="1"/>
  <c r="N570" i="31" s="1"/>
  <c r="K569" i="31"/>
  <c r="K570" i="31" s="1"/>
  <c r="G569" i="31"/>
  <c r="G570" i="31" s="1"/>
  <c r="E569" i="31"/>
  <c r="E570" i="31" s="1"/>
  <c r="D569" i="31"/>
  <c r="D570" i="31" s="1"/>
  <c r="N569" i="29"/>
  <c r="N570" i="29" s="1"/>
  <c r="K569" i="29"/>
  <c r="K570" i="29" s="1"/>
  <c r="G569" i="29"/>
  <c r="G570" i="29" s="1"/>
  <c r="E569" i="29"/>
  <c r="E570" i="29" s="1"/>
  <c r="D569" i="29"/>
  <c r="D570" i="29" s="1"/>
  <c r="P471" i="31"/>
  <c r="O471" i="31"/>
  <c r="N471" i="31"/>
  <c r="M471" i="31"/>
  <c r="L471" i="31"/>
  <c r="K471" i="31"/>
  <c r="I471" i="31"/>
  <c r="H471" i="31"/>
  <c r="G471" i="31"/>
  <c r="F471" i="31"/>
  <c r="E471" i="31"/>
  <c r="D471" i="31"/>
  <c r="G453" i="31"/>
  <c r="F453" i="31"/>
  <c r="E453" i="31"/>
  <c r="D453" i="31"/>
  <c r="G452" i="31"/>
  <c r="F452" i="31"/>
  <c r="E452" i="31"/>
  <c r="D452" i="31"/>
  <c r="P415" i="31"/>
  <c r="O415" i="31"/>
  <c r="N415" i="31"/>
  <c r="M415" i="31"/>
  <c r="L415" i="31"/>
  <c r="K415" i="31"/>
  <c r="J415" i="31"/>
  <c r="I415" i="31"/>
  <c r="H415" i="31"/>
  <c r="G415" i="31"/>
  <c r="F415" i="31"/>
  <c r="E415" i="31"/>
  <c r="D415" i="31"/>
  <c r="P414" i="31"/>
  <c r="O414" i="31"/>
  <c r="N414" i="31"/>
  <c r="M414" i="31"/>
  <c r="L414" i="31"/>
  <c r="K414" i="31"/>
  <c r="I414" i="31"/>
  <c r="H414" i="31"/>
  <c r="G414" i="31"/>
  <c r="F414" i="31"/>
  <c r="E414" i="31"/>
  <c r="D414" i="31"/>
  <c r="O413" i="31"/>
  <c r="N413" i="31"/>
  <c r="L413" i="31"/>
  <c r="J413" i="31"/>
  <c r="J417" i="31" s="1"/>
  <c r="I413" i="31"/>
  <c r="I417" i="31" s="1"/>
  <c r="H413" i="31"/>
  <c r="G413" i="31"/>
  <c r="F413" i="31"/>
  <c r="E413" i="31"/>
  <c r="D413" i="31"/>
  <c r="G411" i="31"/>
  <c r="F411" i="31"/>
  <c r="E411" i="31"/>
  <c r="D411" i="31"/>
  <c r="P417" i="29"/>
  <c r="O417" i="29"/>
  <c r="N417" i="29"/>
  <c r="M417" i="29"/>
  <c r="L417" i="29"/>
  <c r="K417" i="29"/>
  <c r="J417" i="29"/>
  <c r="I417" i="29"/>
  <c r="H417" i="29"/>
  <c r="G417" i="29"/>
  <c r="F417" i="29"/>
  <c r="E417" i="29"/>
  <c r="D417" i="29"/>
  <c r="P416" i="29"/>
  <c r="O416" i="29"/>
  <c r="N416" i="29"/>
  <c r="M416" i="29"/>
  <c r="L416" i="29"/>
  <c r="K416" i="29"/>
  <c r="I416" i="29"/>
  <c r="H416" i="29"/>
  <c r="G416" i="29"/>
  <c r="F416" i="29"/>
  <c r="E416" i="29"/>
  <c r="D416" i="29"/>
  <c r="P402" i="31"/>
  <c r="O402" i="31"/>
  <c r="N402" i="31"/>
  <c r="M402" i="31"/>
  <c r="L402" i="31"/>
  <c r="K402" i="31"/>
  <c r="I402" i="31"/>
  <c r="H402" i="31"/>
  <c r="G402" i="31"/>
  <c r="F402" i="31"/>
  <c r="E402" i="31"/>
  <c r="D402" i="31"/>
  <c r="P404" i="29"/>
  <c r="O404" i="29"/>
  <c r="N404" i="29"/>
  <c r="M404" i="29"/>
  <c r="L404" i="29"/>
  <c r="K404" i="29"/>
  <c r="I404" i="29"/>
  <c r="H404" i="29"/>
  <c r="G404" i="29"/>
  <c r="F404" i="29"/>
  <c r="E404" i="29"/>
  <c r="D404" i="29"/>
  <c r="G400" i="29"/>
  <c r="F400" i="29"/>
  <c r="E400" i="29"/>
  <c r="D400" i="29"/>
  <c r="O382" i="31"/>
  <c r="O384" i="31" s="1"/>
  <c r="N382" i="31"/>
  <c r="N384" i="31" s="1"/>
  <c r="M382" i="31"/>
  <c r="M384" i="31" s="1"/>
  <c r="L382" i="31"/>
  <c r="L384" i="31" s="1"/>
  <c r="K382" i="31"/>
  <c r="K384" i="31" s="1"/>
  <c r="J382" i="31"/>
  <c r="J384" i="31" s="1"/>
  <c r="I382" i="31"/>
  <c r="I384" i="31" s="1"/>
  <c r="H382" i="31"/>
  <c r="H384" i="31" s="1"/>
  <c r="G382" i="31"/>
  <c r="G384" i="31" s="1"/>
  <c r="F382" i="31"/>
  <c r="F384" i="31" s="1"/>
  <c r="E382" i="31"/>
  <c r="E384" i="31" s="1"/>
  <c r="D382" i="31"/>
  <c r="D384" i="31" s="1"/>
  <c r="N369" i="31"/>
  <c r="L369" i="31"/>
  <c r="L372" i="31" s="1"/>
  <c r="J369" i="31"/>
  <c r="I369" i="31"/>
  <c r="H369" i="31"/>
  <c r="G369" i="31"/>
  <c r="F369" i="31"/>
  <c r="E369" i="31"/>
  <c r="D369" i="31"/>
  <c r="P372" i="31"/>
  <c r="O372" i="31"/>
  <c r="M372" i="31"/>
  <c r="K372" i="31"/>
  <c r="G370" i="29"/>
  <c r="F370" i="29"/>
  <c r="E370" i="29"/>
  <c r="D370" i="29"/>
  <c r="P347" i="31"/>
  <c r="O347" i="31"/>
  <c r="N347" i="31"/>
  <c r="M347" i="31"/>
  <c r="L347" i="31"/>
  <c r="K347" i="31"/>
  <c r="J347" i="31"/>
  <c r="G347" i="31"/>
  <c r="F347" i="31"/>
  <c r="E347" i="31"/>
  <c r="D347" i="31"/>
  <c r="P347" i="29"/>
  <c r="O347" i="29"/>
  <c r="N347" i="29"/>
  <c r="M347" i="29"/>
  <c r="L347" i="29"/>
  <c r="K347" i="29"/>
  <c r="J347" i="29"/>
  <c r="G347" i="29"/>
  <c r="F347" i="29"/>
  <c r="E347" i="29"/>
  <c r="D347" i="29"/>
  <c r="P301" i="31"/>
  <c r="O301" i="31"/>
  <c r="N301" i="31"/>
  <c r="M301" i="31"/>
  <c r="L301" i="31"/>
  <c r="K301" i="31"/>
  <c r="I301" i="31"/>
  <c r="H301" i="31"/>
  <c r="G301" i="31"/>
  <c r="F301" i="31"/>
  <c r="E301" i="31"/>
  <c r="D301" i="31"/>
  <c r="P300" i="31"/>
  <c r="P303" i="31" s="1"/>
  <c r="O300" i="31"/>
  <c r="N300" i="31"/>
  <c r="M300" i="31"/>
  <c r="M303" i="31" s="1"/>
  <c r="L300" i="31"/>
  <c r="K300" i="31"/>
  <c r="K303" i="31" s="1"/>
  <c r="J300" i="31"/>
  <c r="I300" i="31"/>
  <c r="H300" i="31"/>
  <c r="G300" i="31"/>
  <c r="F300" i="31"/>
  <c r="E300" i="31"/>
  <c r="D300" i="31"/>
  <c r="O299" i="31"/>
  <c r="O303" i="31" s="1"/>
  <c r="N299" i="31"/>
  <c r="N303" i="31" s="1"/>
  <c r="L299" i="31"/>
  <c r="J299" i="31"/>
  <c r="J303" i="31" s="1"/>
  <c r="I299" i="31"/>
  <c r="H299" i="31"/>
  <c r="G299" i="31"/>
  <c r="F299" i="31"/>
  <c r="E299" i="31"/>
  <c r="D299" i="31"/>
  <c r="O296" i="29"/>
  <c r="N296" i="29"/>
  <c r="L296" i="29"/>
  <c r="J296" i="29"/>
  <c r="I296" i="29"/>
  <c r="H296" i="29"/>
  <c r="G296" i="29"/>
  <c r="F296" i="29"/>
  <c r="E296" i="29"/>
  <c r="D296" i="29"/>
  <c r="G284" i="31"/>
  <c r="F284" i="31"/>
  <c r="E284" i="31"/>
  <c r="D284" i="31"/>
  <c r="Q279" i="31"/>
  <c r="Q583" i="31" s="1"/>
  <c r="G278" i="31"/>
  <c r="F278" i="31"/>
  <c r="D278" i="31"/>
  <c r="N279" i="31"/>
  <c r="M279" i="31"/>
  <c r="G276" i="31"/>
  <c r="F276" i="31"/>
  <c r="P279" i="31"/>
  <c r="O279" i="31"/>
  <c r="L279" i="31"/>
  <c r="K279" i="31"/>
  <c r="J279" i="31"/>
  <c r="I279" i="31"/>
  <c r="H279" i="31"/>
  <c r="E279" i="31"/>
  <c r="G253" i="31"/>
  <c r="F253" i="31"/>
  <c r="P240" i="29"/>
  <c r="O240" i="29"/>
  <c r="N240" i="29"/>
  <c r="M240" i="29"/>
  <c r="L240" i="29"/>
  <c r="K240" i="29"/>
  <c r="I240" i="29"/>
  <c r="H240" i="29"/>
  <c r="G240" i="29"/>
  <c r="F240" i="29"/>
  <c r="E240" i="29"/>
  <c r="D240" i="29"/>
  <c r="P243" i="31"/>
  <c r="O243" i="31"/>
  <c r="N243" i="31"/>
  <c r="M243" i="31"/>
  <c r="L243" i="31"/>
  <c r="K243" i="31"/>
  <c r="I243" i="31"/>
  <c r="H243" i="31"/>
  <c r="G243" i="31"/>
  <c r="F243" i="31"/>
  <c r="E243" i="31"/>
  <c r="D243" i="31"/>
  <c r="P200" i="31"/>
  <c r="P201" i="31" s="1"/>
  <c r="O200" i="31"/>
  <c r="N200" i="31"/>
  <c r="M200" i="31"/>
  <c r="M201" i="31" s="1"/>
  <c r="L200" i="31"/>
  <c r="K200" i="31"/>
  <c r="K201" i="31" s="1"/>
  <c r="I200" i="31"/>
  <c r="H200" i="31"/>
  <c r="G200" i="31"/>
  <c r="F200" i="31"/>
  <c r="E200" i="31"/>
  <c r="D200" i="31"/>
  <c r="O199" i="31"/>
  <c r="N199" i="31"/>
  <c r="L199" i="31"/>
  <c r="L201" i="31" s="1"/>
  <c r="J199" i="31"/>
  <c r="J201" i="31" s="1"/>
  <c r="I199" i="31"/>
  <c r="I201" i="31" s="1"/>
  <c r="H199" i="31"/>
  <c r="H201" i="31" s="1"/>
  <c r="G199" i="31"/>
  <c r="G201" i="31" s="1"/>
  <c r="F199" i="31"/>
  <c r="F201" i="31" s="1"/>
  <c r="E199" i="31"/>
  <c r="E201" i="31" s="1"/>
  <c r="D199" i="31"/>
  <c r="D201" i="31" s="1"/>
  <c r="P196" i="31"/>
  <c r="O196" i="31"/>
  <c r="N196" i="31"/>
  <c r="M196" i="31"/>
  <c r="L196" i="31"/>
  <c r="K196" i="31"/>
  <c r="I196" i="31"/>
  <c r="H196" i="31"/>
  <c r="G196" i="31"/>
  <c r="F196" i="31"/>
  <c r="E196" i="31"/>
  <c r="D196" i="31"/>
  <c r="I175" i="31"/>
  <c r="I177" i="31" s="1"/>
  <c r="H175" i="31"/>
  <c r="H177" i="31" s="1"/>
  <c r="G175" i="31"/>
  <c r="G177" i="31" s="1"/>
  <c r="F175" i="31"/>
  <c r="F177" i="31" s="1"/>
  <c r="E175" i="31"/>
  <c r="E177" i="31" s="1"/>
  <c r="D175" i="31"/>
  <c r="D177" i="31" s="1"/>
  <c r="G160" i="31"/>
  <c r="F160" i="31"/>
  <c r="E160" i="31"/>
  <c r="D160" i="31"/>
  <c r="G159" i="31"/>
  <c r="F159" i="31"/>
  <c r="E159" i="31"/>
  <c r="D159" i="31"/>
  <c r="P158" i="31"/>
  <c r="P163" i="31" s="1"/>
  <c r="O158" i="31"/>
  <c r="O163" i="31" s="1"/>
  <c r="N158" i="31"/>
  <c r="N163" i="31" s="1"/>
  <c r="M158" i="31"/>
  <c r="M163" i="31" s="1"/>
  <c r="L158" i="31"/>
  <c r="L163" i="31" s="1"/>
  <c r="K158" i="31"/>
  <c r="K163" i="31" s="1"/>
  <c r="J158" i="31"/>
  <c r="J163" i="31" s="1"/>
  <c r="I158" i="31"/>
  <c r="I163" i="31" s="1"/>
  <c r="H158" i="31"/>
  <c r="H163" i="31" s="1"/>
  <c r="G158" i="31"/>
  <c r="F158" i="31"/>
  <c r="E158" i="31"/>
  <c r="D158" i="31"/>
  <c r="P152" i="31"/>
  <c r="O152" i="31"/>
  <c r="N152" i="31"/>
  <c r="M152" i="31"/>
  <c r="L152" i="31"/>
  <c r="J152" i="31"/>
  <c r="I152" i="31"/>
  <c r="H152" i="31"/>
  <c r="G152" i="31"/>
  <c r="F152" i="31"/>
  <c r="E152" i="31"/>
  <c r="D152" i="31"/>
  <c r="P153" i="31"/>
  <c r="O150" i="31"/>
  <c r="N150" i="31"/>
  <c r="M150" i="31"/>
  <c r="L150" i="31"/>
  <c r="K150" i="31"/>
  <c r="J150" i="31"/>
  <c r="J153" i="31" s="1"/>
  <c r="I150" i="31"/>
  <c r="H150" i="31"/>
  <c r="H153" i="31" s="1"/>
  <c r="G150" i="31"/>
  <c r="F150" i="31"/>
  <c r="F153" i="31" s="1"/>
  <c r="E150" i="31"/>
  <c r="D150" i="31"/>
  <c r="D153" i="31" s="1"/>
  <c r="G136" i="31"/>
  <c r="F136" i="31"/>
  <c r="P135" i="31"/>
  <c r="O135" i="31"/>
  <c r="N135" i="31"/>
  <c r="M135" i="31"/>
  <c r="L135" i="31"/>
  <c r="K135" i="31"/>
  <c r="J135" i="31"/>
  <c r="G135" i="31"/>
  <c r="F135" i="31"/>
  <c r="E135" i="31"/>
  <c r="D135" i="31"/>
  <c r="P134" i="31"/>
  <c r="O134" i="31"/>
  <c r="N134" i="31"/>
  <c r="M134" i="31"/>
  <c r="L134" i="31"/>
  <c r="K134" i="31"/>
  <c r="I134" i="31"/>
  <c r="H134" i="31"/>
  <c r="G134" i="31"/>
  <c r="F134" i="31"/>
  <c r="E134" i="31"/>
  <c r="D134" i="31"/>
  <c r="P133" i="31"/>
  <c r="O133" i="31"/>
  <c r="N133" i="31"/>
  <c r="M133" i="31"/>
  <c r="L133" i="31"/>
  <c r="K133" i="31"/>
  <c r="J133" i="31"/>
  <c r="I133" i="31"/>
  <c r="H133" i="31"/>
  <c r="G133" i="31"/>
  <c r="F133" i="31"/>
  <c r="E133" i="31"/>
  <c r="D133" i="31"/>
  <c r="G132" i="31"/>
  <c r="F132" i="31"/>
  <c r="E132" i="31"/>
  <c r="D132" i="31"/>
  <c r="G113" i="31"/>
  <c r="F113" i="31"/>
  <c r="E113" i="31"/>
  <c r="D113" i="31"/>
  <c r="P112" i="31"/>
  <c r="O112" i="31"/>
  <c r="N112" i="31"/>
  <c r="M112" i="31"/>
  <c r="L112" i="31"/>
  <c r="K112" i="31"/>
  <c r="I112" i="31"/>
  <c r="H112" i="31"/>
  <c r="G112" i="31"/>
  <c r="F112" i="31"/>
  <c r="E112" i="31"/>
  <c r="D112" i="31"/>
  <c r="G111" i="31"/>
  <c r="F111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P109" i="31"/>
  <c r="O109" i="31"/>
  <c r="N109" i="31"/>
  <c r="M109" i="31"/>
  <c r="L109" i="31"/>
  <c r="K109" i="31"/>
  <c r="J109" i="31"/>
  <c r="I109" i="31"/>
  <c r="H109" i="31"/>
  <c r="G109" i="31"/>
  <c r="F109" i="31"/>
  <c r="E109" i="31"/>
  <c r="D109" i="31"/>
  <c r="P88" i="31"/>
  <c r="O88" i="31"/>
  <c r="N88" i="31"/>
  <c r="M88" i="31"/>
  <c r="L88" i="31"/>
  <c r="K88" i="31"/>
  <c r="J88" i="31"/>
  <c r="G88" i="31"/>
  <c r="F88" i="31"/>
  <c r="E88" i="31"/>
  <c r="D88" i="31"/>
  <c r="P87" i="31"/>
  <c r="O87" i="31"/>
  <c r="N87" i="31"/>
  <c r="M87" i="31"/>
  <c r="L87" i="31"/>
  <c r="K87" i="31"/>
  <c r="I87" i="31"/>
  <c r="H87" i="31"/>
  <c r="G87" i="31"/>
  <c r="F87" i="31"/>
  <c r="E87" i="31"/>
  <c r="D87" i="31"/>
  <c r="O86" i="31"/>
  <c r="N86" i="31"/>
  <c r="M86" i="31"/>
  <c r="L86" i="31"/>
  <c r="K86" i="31"/>
  <c r="J86" i="31"/>
  <c r="J90" i="31" s="1"/>
  <c r="I86" i="31"/>
  <c r="I90" i="31" s="1"/>
  <c r="H86" i="31"/>
  <c r="H90" i="31" s="1"/>
  <c r="G86" i="31"/>
  <c r="F86" i="31"/>
  <c r="E86" i="31"/>
  <c r="E90" i="31" s="1"/>
  <c r="D86" i="31"/>
  <c r="D90" i="31" s="1"/>
  <c r="O55" i="31"/>
  <c r="O56" i="31" s="1"/>
  <c r="N55" i="31"/>
  <c r="N56" i="31" s="1"/>
  <c r="M55" i="31"/>
  <c r="M56" i="31" s="1"/>
  <c r="L55" i="31"/>
  <c r="L56" i="31" s="1"/>
  <c r="K55" i="31"/>
  <c r="K56" i="31" s="1"/>
  <c r="I56" i="31"/>
  <c r="H56" i="31"/>
  <c r="G55" i="31"/>
  <c r="G56" i="31" s="1"/>
  <c r="F55" i="31"/>
  <c r="F56" i="31" s="1"/>
  <c r="D55" i="31"/>
  <c r="D56" i="31" s="1"/>
  <c r="P39" i="31"/>
  <c r="O39" i="31"/>
  <c r="N39" i="31"/>
  <c r="M39" i="31"/>
  <c r="L39" i="31"/>
  <c r="K39" i="31"/>
  <c r="J39" i="31"/>
  <c r="J41" i="31" s="1"/>
  <c r="G39" i="31"/>
  <c r="F39" i="31"/>
  <c r="E39" i="31"/>
  <c r="D39" i="31"/>
  <c r="P38" i="31"/>
  <c r="O38" i="31"/>
  <c r="N38" i="31"/>
  <c r="M38" i="31"/>
  <c r="L38" i="31"/>
  <c r="K38" i="31"/>
  <c r="I38" i="31"/>
  <c r="I41" i="31" s="1"/>
  <c r="H38" i="31"/>
  <c r="H41" i="31" s="1"/>
  <c r="G38" i="31"/>
  <c r="F38" i="31"/>
  <c r="E38" i="31"/>
  <c r="D38" i="31"/>
  <c r="G37" i="31"/>
  <c r="F37" i="31"/>
  <c r="E37" i="31"/>
  <c r="D37" i="31"/>
  <c r="G36" i="31"/>
  <c r="G41" i="31" s="1"/>
  <c r="F36" i="31"/>
  <c r="F41" i="31" s="1"/>
  <c r="E36" i="31"/>
  <c r="E41" i="31" s="1"/>
  <c r="D36" i="31"/>
  <c r="D41" i="31" s="1"/>
  <c r="O29" i="31"/>
  <c r="O30" i="31" s="1"/>
  <c r="N29" i="31"/>
  <c r="N30" i="31" s="1"/>
  <c r="M29" i="31"/>
  <c r="M30" i="31" s="1"/>
  <c r="L29" i="31"/>
  <c r="L30" i="31" s="1"/>
  <c r="K29" i="31"/>
  <c r="K30" i="31" s="1"/>
  <c r="J29" i="31"/>
  <c r="J30" i="31" s="1"/>
  <c r="I29" i="31"/>
  <c r="I30" i="31" s="1"/>
  <c r="H29" i="31"/>
  <c r="H30" i="31" s="1"/>
  <c r="G29" i="31"/>
  <c r="G30" i="31" s="1"/>
  <c r="F29" i="31"/>
  <c r="F30" i="31" s="1"/>
  <c r="E29" i="31"/>
  <c r="E30" i="31" s="1"/>
  <c r="D29" i="31"/>
  <c r="D30" i="31" s="1"/>
  <c r="E153" i="31" l="1"/>
  <c r="G153" i="31"/>
  <c r="Q584" i="31"/>
  <c r="Q597" i="31"/>
  <c r="G90" i="31"/>
  <c r="O201" i="31"/>
  <c r="I153" i="31"/>
  <c r="D303" i="31"/>
  <c r="F303" i="31"/>
  <c r="H303" i="31"/>
  <c r="D372" i="31"/>
  <c r="F372" i="31"/>
  <c r="H372" i="31"/>
  <c r="J372" i="31"/>
  <c r="N372" i="31"/>
  <c r="D417" i="31"/>
  <c r="F417" i="31"/>
  <c r="H417" i="31"/>
  <c r="K417" i="31"/>
  <c r="M417" i="31"/>
  <c r="O417" i="31"/>
  <c r="P417" i="31"/>
  <c r="P419" i="29"/>
  <c r="L90" i="31"/>
  <c r="N90" i="31"/>
  <c r="E114" i="31"/>
  <c r="G114" i="31"/>
  <c r="I114" i="31"/>
  <c r="K114" i="31"/>
  <c r="M114" i="31"/>
  <c r="O114" i="31"/>
  <c r="E138" i="31"/>
  <c r="G138" i="31"/>
  <c r="I138" i="31"/>
  <c r="K138" i="31"/>
  <c r="M138" i="31"/>
  <c r="O138" i="31"/>
  <c r="K153" i="31"/>
  <c r="M153" i="31"/>
  <c r="O153" i="31"/>
  <c r="E163" i="31"/>
  <c r="G163" i="31"/>
  <c r="N201" i="31"/>
  <c r="E303" i="31"/>
  <c r="G303" i="31"/>
  <c r="I303" i="31"/>
  <c r="L303" i="31"/>
  <c r="E372" i="31"/>
  <c r="G372" i="31"/>
  <c r="I372" i="31"/>
  <c r="E417" i="31"/>
  <c r="G417" i="31"/>
  <c r="L417" i="31"/>
  <c r="N417" i="31"/>
  <c r="F90" i="31"/>
  <c r="K41" i="31"/>
  <c r="M41" i="31"/>
  <c r="O41" i="31"/>
  <c r="K90" i="31"/>
  <c r="M90" i="31"/>
  <c r="O90" i="31"/>
  <c r="P90" i="31"/>
  <c r="D114" i="31"/>
  <c r="F114" i="31"/>
  <c r="H114" i="31"/>
  <c r="J114" i="31"/>
  <c r="L114" i="31"/>
  <c r="N114" i="31"/>
  <c r="P114" i="31"/>
  <c r="D138" i="31"/>
  <c r="F138" i="31"/>
  <c r="H138" i="31"/>
  <c r="J138" i="31"/>
  <c r="L138" i="31"/>
  <c r="N138" i="31"/>
  <c r="P138" i="31"/>
  <c r="L153" i="31"/>
  <c r="N153" i="31"/>
  <c r="D163" i="31"/>
  <c r="F163" i="31"/>
  <c r="L41" i="31"/>
  <c r="N41" i="31"/>
  <c r="P41" i="31"/>
  <c r="D279" i="31"/>
  <c r="F279" i="31"/>
  <c r="G279" i="31"/>
  <c r="G565" i="29"/>
  <c r="F565" i="29"/>
  <c r="E565" i="29"/>
  <c r="D565" i="29"/>
  <c r="P462" i="31"/>
  <c r="O462" i="31"/>
  <c r="N462" i="31"/>
  <c r="M462" i="31"/>
  <c r="L462" i="31"/>
  <c r="K462" i="31"/>
  <c r="J462" i="31"/>
  <c r="G462" i="31"/>
  <c r="F462" i="31"/>
  <c r="E462" i="31"/>
  <c r="D462" i="31"/>
  <c r="P461" i="31"/>
  <c r="O461" i="31"/>
  <c r="N461" i="31"/>
  <c r="M461" i="31"/>
  <c r="L461" i="31"/>
  <c r="K461" i="31"/>
  <c r="I461" i="31"/>
  <c r="H461" i="31"/>
  <c r="G461" i="31"/>
  <c r="F461" i="31"/>
  <c r="E461" i="31"/>
  <c r="D461" i="31"/>
  <c r="P467" i="29"/>
  <c r="O467" i="29"/>
  <c r="N467" i="29"/>
  <c r="M467" i="29"/>
  <c r="L467" i="29"/>
  <c r="K467" i="29"/>
  <c r="J467" i="29"/>
  <c r="G467" i="29"/>
  <c r="F467" i="29"/>
  <c r="E467" i="29"/>
  <c r="D467" i="29"/>
  <c r="P466" i="29"/>
  <c r="O466" i="29"/>
  <c r="N466" i="29"/>
  <c r="M466" i="29"/>
  <c r="L466" i="29"/>
  <c r="K466" i="29"/>
  <c r="I466" i="29"/>
  <c r="H466" i="29"/>
  <c r="G466" i="29"/>
  <c r="F466" i="29"/>
  <c r="E466" i="29"/>
  <c r="D466" i="29"/>
  <c r="P476" i="29"/>
  <c r="O476" i="29"/>
  <c r="N476" i="29"/>
  <c r="M476" i="29"/>
  <c r="L476" i="29"/>
  <c r="K476" i="29"/>
  <c r="I476" i="29"/>
  <c r="H476" i="29"/>
  <c r="G476" i="29"/>
  <c r="F476" i="29"/>
  <c r="E476" i="29"/>
  <c r="D476" i="29"/>
  <c r="O197" i="29"/>
  <c r="N197" i="29"/>
  <c r="L197" i="29"/>
  <c r="J197" i="29"/>
  <c r="J199" i="29" s="1"/>
  <c r="I197" i="29"/>
  <c r="H197" i="29"/>
  <c r="G197" i="29"/>
  <c r="F197" i="29"/>
  <c r="E197" i="29"/>
  <c r="D197" i="29"/>
  <c r="O459" i="31"/>
  <c r="N459" i="31"/>
  <c r="M459" i="31"/>
  <c r="L459" i="31"/>
  <c r="K459" i="31"/>
  <c r="J459" i="31"/>
  <c r="I459" i="31"/>
  <c r="H459" i="31"/>
  <c r="G459" i="31"/>
  <c r="F459" i="31"/>
  <c r="D459" i="31"/>
  <c r="G464" i="29"/>
  <c r="F464" i="29"/>
  <c r="D464" i="29"/>
  <c r="O271" i="31"/>
  <c r="N270" i="31"/>
  <c r="M270" i="31"/>
  <c r="M271" i="31" s="1"/>
  <c r="L270" i="31"/>
  <c r="L271" i="31" s="1"/>
  <c r="K270" i="31"/>
  <c r="J270" i="31"/>
  <c r="J271" i="31" s="1"/>
  <c r="I270" i="31"/>
  <c r="I271" i="31" s="1"/>
  <c r="H270" i="31"/>
  <c r="H271" i="31" s="1"/>
  <c r="G270" i="31"/>
  <c r="F270" i="31"/>
  <c r="F271" i="31" s="1"/>
  <c r="E270" i="31"/>
  <c r="D270" i="31"/>
  <c r="G267" i="29"/>
  <c r="F267" i="29"/>
  <c r="F268" i="29" s="1"/>
  <c r="E267" i="29"/>
  <c r="D267" i="29"/>
  <c r="G472" i="29"/>
  <c r="D472" i="29"/>
  <c r="O183" i="31"/>
  <c r="N183" i="31"/>
  <c r="M183" i="31"/>
  <c r="L183" i="31"/>
  <c r="G183" i="31"/>
  <c r="F183" i="31"/>
  <c r="E183" i="31"/>
  <c r="D183" i="31"/>
  <c r="O182" i="29"/>
  <c r="N182" i="29"/>
  <c r="M182" i="29"/>
  <c r="L182" i="29"/>
  <c r="G182" i="29"/>
  <c r="F182" i="29"/>
  <c r="E182" i="29"/>
  <c r="D182" i="29"/>
  <c r="G398" i="31"/>
  <c r="F398" i="31"/>
  <c r="E398" i="31"/>
  <c r="D398" i="31"/>
  <c r="G212" i="29"/>
  <c r="F212" i="29"/>
  <c r="E212" i="29"/>
  <c r="D212" i="29"/>
  <c r="K463" i="31" l="1"/>
  <c r="M463" i="31"/>
  <c r="O463" i="31"/>
  <c r="P463" i="31"/>
  <c r="P468" i="29"/>
  <c r="G392" i="31"/>
  <c r="F392" i="31"/>
  <c r="D392" i="31"/>
  <c r="P391" i="31"/>
  <c r="O391" i="31"/>
  <c r="N391" i="31"/>
  <c r="M391" i="31"/>
  <c r="L391" i="31"/>
  <c r="K391" i="31"/>
  <c r="J391" i="31"/>
  <c r="J393" i="31" s="1"/>
  <c r="G391" i="31"/>
  <c r="F391" i="31"/>
  <c r="E391" i="31"/>
  <c r="D391" i="31"/>
  <c r="P390" i="31"/>
  <c r="O390" i="31"/>
  <c r="N390" i="31"/>
  <c r="M390" i="31"/>
  <c r="L390" i="31"/>
  <c r="K390" i="31"/>
  <c r="I390" i="31"/>
  <c r="I393" i="31" s="1"/>
  <c r="H390" i="31"/>
  <c r="H393" i="31" s="1"/>
  <c r="G390" i="31"/>
  <c r="F390" i="31"/>
  <c r="E390" i="31"/>
  <c r="E393" i="31" s="1"/>
  <c r="D390" i="31"/>
  <c r="G389" i="31"/>
  <c r="G393" i="31" s="1"/>
  <c r="F389" i="31"/>
  <c r="F393" i="31" s="1"/>
  <c r="D295" i="29"/>
  <c r="P256" i="29"/>
  <c r="O256" i="29"/>
  <c r="N256" i="29"/>
  <c r="M256" i="29"/>
  <c r="L256" i="29"/>
  <c r="K256" i="29"/>
  <c r="J256" i="29"/>
  <c r="I256" i="29"/>
  <c r="H256" i="29"/>
  <c r="G256" i="29"/>
  <c r="F256" i="29"/>
  <c r="E256" i="29"/>
  <c r="D256" i="29"/>
  <c r="P67" i="31"/>
  <c r="O67" i="31"/>
  <c r="N67" i="31"/>
  <c r="M67" i="31"/>
  <c r="L67" i="31"/>
  <c r="K67" i="31"/>
  <c r="J67" i="31"/>
  <c r="I67" i="31"/>
  <c r="H67" i="31"/>
  <c r="G67" i="31"/>
  <c r="F67" i="31"/>
  <c r="E67" i="31"/>
  <c r="D67" i="31"/>
  <c r="P395" i="31"/>
  <c r="O395" i="31"/>
  <c r="N395" i="31"/>
  <c r="M395" i="31"/>
  <c r="L395" i="31"/>
  <c r="K395" i="31"/>
  <c r="I395" i="31"/>
  <c r="H395" i="31"/>
  <c r="G395" i="31"/>
  <c r="F395" i="31"/>
  <c r="E395" i="31"/>
  <c r="D395" i="31"/>
  <c r="D393" i="31" l="1"/>
  <c r="K393" i="31"/>
  <c r="M393" i="31"/>
  <c r="O393" i="31"/>
  <c r="L393" i="31"/>
  <c r="N393" i="31"/>
  <c r="P393" i="31"/>
  <c r="P553" i="31"/>
  <c r="O553" i="31"/>
  <c r="N553" i="31"/>
  <c r="M553" i="31"/>
  <c r="L553" i="31"/>
  <c r="K553" i="31"/>
  <c r="I553" i="31"/>
  <c r="H553" i="31"/>
  <c r="G553" i="31"/>
  <c r="F553" i="31"/>
  <c r="E553" i="31"/>
  <c r="D553" i="31"/>
  <c r="G552" i="31"/>
  <c r="F552" i="31"/>
  <c r="P551" i="31"/>
  <c r="P555" i="31" s="1"/>
  <c r="O551" i="31"/>
  <c r="O555" i="31" s="1"/>
  <c r="N551" i="31"/>
  <c r="N555" i="31" s="1"/>
  <c r="M551" i="31"/>
  <c r="M555" i="31" s="1"/>
  <c r="L551" i="31"/>
  <c r="L555" i="31" s="1"/>
  <c r="K551" i="31"/>
  <c r="K555" i="31" s="1"/>
  <c r="J551" i="31"/>
  <c r="J555" i="31" s="1"/>
  <c r="I551" i="31"/>
  <c r="H551" i="31"/>
  <c r="G551" i="31"/>
  <c r="F551" i="31"/>
  <c r="E551" i="31"/>
  <c r="D551" i="31"/>
  <c r="P546" i="31"/>
  <c r="P547" i="31" s="1"/>
  <c r="O546" i="31"/>
  <c r="O547" i="31" s="1"/>
  <c r="N546" i="31"/>
  <c r="N547" i="31" s="1"/>
  <c r="M546" i="31"/>
  <c r="M547" i="31" s="1"/>
  <c r="L546" i="31"/>
  <c r="L547" i="31" s="1"/>
  <c r="K546" i="31"/>
  <c r="K547" i="31" s="1"/>
  <c r="J546" i="31"/>
  <c r="J547" i="31" s="1"/>
  <c r="I546" i="31"/>
  <c r="I547" i="31" s="1"/>
  <c r="H546" i="31"/>
  <c r="H547" i="31" s="1"/>
  <c r="G546" i="31"/>
  <c r="F546" i="31"/>
  <c r="E546" i="31"/>
  <c r="D546" i="31"/>
  <c r="G547" i="31"/>
  <c r="F547" i="31"/>
  <c r="E547" i="31"/>
  <c r="D547" i="31"/>
  <c r="P531" i="31"/>
  <c r="O531" i="31"/>
  <c r="N531" i="31"/>
  <c r="M531" i="31"/>
  <c r="L531" i="31"/>
  <c r="K531" i="31"/>
  <c r="J531" i="31"/>
  <c r="G531" i="31"/>
  <c r="F531" i="31"/>
  <c r="E531" i="31"/>
  <c r="D531" i="31"/>
  <c r="P530" i="31"/>
  <c r="O530" i="31"/>
  <c r="N530" i="31"/>
  <c r="M530" i="31"/>
  <c r="L530" i="31"/>
  <c r="K530" i="31"/>
  <c r="I530" i="31"/>
  <c r="H530" i="31"/>
  <c r="G530" i="31"/>
  <c r="F530" i="31"/>
  <c r="E530" i="31"/>
  <c r="D530" i="31"/>
  <c r="O505" i="31"/>
  <c r="N505" i="31"/>
  <c r="M505" i="31"/>
  <c r="L505" i="31"/>
  <c r="K505" i="31"/>
  <c r="J505" i="31"/>
  <c r="J508" i="31" s="1"/>
  <c r="I505" i="31"/>
  <c r="H505" i="31"/>
  <c r="G505" i="31"/>
  <c r="F505" i="31"/>
  <c r="E505" i="31"/>
  <c r="D505" i="31"/>
  <c r="P527" i="31"/>
  <c r="O527" i="31"/>
  <c r="N527" i="31"/>
  <c r="M527" i="31"/>
  <c r="L527" i="31"/>
  <c r="K527" i="31"/>
  <c r="J527" i="31"/>
  <c r="I527" i="31"/>
  <c r="H527" i="31"/>
  <c r="G527" i="31"/>
  <c r="F527" i="31"/>
  <c r="E527" i="31"/>
  <c r="D527" i="31"/>
  <c r="N521" i="31"/>
  <c r="N522" i="31" s="1"/>
  <c r="M521" i="31"/>
  <c r="M522" i="31" s="1"/>
  <c r="K521" i="31"/>
  <c r="K522" i="31" s="1"/>
  <c r="I521" i="31"/>
  <c r="I522" i="31" s="1"/>
  <c r="H521" i="31"/>
  <c r="H522" i="31" s="1"/>
  <c r="D521" i="31"/>
  <c r="D522" i="31" s="1"/>
  <c r="P507" i="31"/>
  <c r="P508" i="31" s="1"/>
  <c r="O507" i="31"/>
  <c r="N507" i="31"/>
  <c r="M507" i="31"/>
  <c r="L507" i="31"/>
  <c r="K507" i="31"/>
  <c r="I507" i="31"/>
  <c r="H507" i="31"/>
  <c r="G507" i="31"/>
  <c r="F507" i="31"/>
  <c r="E507" i="31"/>
  <c r="D507" i="31"/>
  <c r="G529" i="31"/>
  <c r="F529" i="31"/>
  <c r="E529" i="31"/>
  <c r="D529" i="31"/>
  <c r="G528" i="31"/>
  <c r="F528" i="31"/>
  <c r="E528" i="31"/>
  <c r="D528" i="31"/>
  <c r="G504" i="31"/>
  <c r="F504" i="31"/>
  <c r="E504" i="31"/>
  <c r="D504" i="31"/>
  <c r="I499" i="31"/>
  <c r="H499" i="31"/>
  <c r="G499" i="31"/>
  <c r="F499" i="31"/>
  <c r="E499" i="31"/>
  <c r="D499" i="31"/>
  <c r="O498" i="31"/>
  <c r="O500" i="31" s="1"/>
  <c r="N498" i="31"/>
  <c r="N500" i="31" s="1"/>
  <c r="M498" i="31"/>
  <c r="M500" i="31" s="1"/>
  <c r="L498" i="31"/>
  <c r="L500" i="31" s="1"/>
  <c r="K498" i="31"/>
  <c r="K500" i="31" s="1"/>
  <c r="J498" i="31"/>
  <c r="J500" i="31" s="1"/>
  <c r="I498" i="31"/>
  <c r="I500" i="31" s="1"/>
  <c r="H498" i="31"/>
  <c r="H500" i="31" s="1"/>
  <c r="G498" i="31"/>
  <c r="G500" i="31" s="1"/>
  <c r="F498" i="31"/>
  <c r="F500" i="31" s="1"/>
  <c r="E498" i="31"/>
  <c r="E500" i="31" s="1"/>
  <c r="D498" i="31"/>
  <c r="D500" i="31" s="1"/>
  <c r="P482" i="31"/>
  <c r="O482" i="31"/>
  <c r="N482" i="31"/>
  <c r="M482" i="31"/>
  <c r="L482" i="31"/>
  <c r="K482" i="31"/>
  <c r="I482" i="31"/>
  <c r="H482" i="31"/>
  <c r="G482" i="31"/>
  <c r="F482" i="31"/>
  <c r="E482" i="31"/>
  <c r="D482" i="31"/>
  <c r="G481" i="31"/>
  <c r="F481" i="31"/>
  <c r="P484" i="31"/>
  <c r="O484" i="31"/>
  <c r="N484" i="31"/>
  <c r="M484" i="31"/>
  <c r="L484" i="31"/>
  <c r="K484" i="31"/>
  <c r="J484" i="31"/>
  <c r="O475" i="31"/>
  <c r="O476" i="31" s="1"/>
  <c r="N475" i="31"/>
  <c r="N476" i="31" s="1"/>
  <c r="M475" i="31"/>
  <c r="M476" i="31" s="1"/>
  <c r="L475" i="31"/>
  <c r="L476" i="31" s="1"/>
  <c r="K475" i="31"/>
  <c r="K476" i="31" s="1"/>
  <c r="J475" i="31"/>
  <c r="J476" i="31" s="1"/>
  <c r="I475" i="31"/>
  <c r="I476" i="31" s="1"/>
  <c r="H475" i="31"/>
  <c r="H476" i="31" s="1"/>
  <c r="G475" i="31"/>
  <c r="G476" i="31" s="1"/>
  <c r="F475" i="31"/>
  <c r="F476" i="31" s="1"/>
  <c r="E475" i="31"/>
  <c r="E476" i="31" s="1"/>
  <c r="D475" i="31"/>
  <c r="D476" i="31" s="1"/>
  <c r="N460" i="31"/>
  <c r="N463" i="31" s="1"/>
  <c r="L460" i="31"/>
  <c r="L463" i="31" s="1"/>
  <c r="J460" i="31"/>
  <c r="J463" i="31" s="1"/>
  <c r="I460" i="31"/>
  <c r="I463" i="31" s="1"/>
  <c r="H460" i="31"/>
  <c r="H463" i="31" s="1"/>
  <c r="G460" i="31"/>
  <c r="G463" i="31" s="1"/>
  <c r="F460" i="31"/>
  <c r="F463" i="31" s="1"/>
  <c r="E460" i="31"/>
  <c r="E463" i="31" s="1"/>
  <c r="D460" i="31"/>
  <c r="D463" i="31" s="1"/>
  <c r="P437" i="31"/>
  <c r="O437" i="31"/>
  <c r="N437" i="31"/>
  <c r="M437" i="31"/>
  <c r="L437" i="31"/>
  <c r="K437" i="31"/>
  <c r="I437" i="31"/>
  <c r="H437" i="31"/>
  <c r="G437" i="31"/>
  <c r="F437" i="31"/>
  <c r="E437" i="31"/>
  <c r="D437" i="31"/>
  <c r="G436" i="31"/>
  <c r="F436" i="31"/>
  <c r="P434" i="31"/>
  <c r="P439" i="31" s="1"/>
  <c r="O434" i="31"/>
  <c r="O439" i="31" s="1"/>
  <c r="N434" i="31"/>
  <c r="N439" i="31" s="1"/>
  <c r="M434" i="31"/>
  <c r="M439" i="31" s="1"/>
  <c r="L434" i="31"/>
  <c r="L439" i="31" s="1"/>
  <c r="K434" i="31"/>
  <c r="K439" i="31" s="1"/>
  <c r="J434" i="31"/>
  <c r="J439" i="31" s="1"/>
  <c r="I434" i="31"/>
  <c r="H434" i="31"/>
  <c r="G434" i="31"/>
  <c r="F434" i="31"/>
  <c r="E434" i="31"/>
  <c r="D434" i="31"/>
  <c r="G427" i="31"/>
  <c r="G429" i="31" s="1"/>
  <c r="F427" i="31"/>
  <c r="F429" i="31" s="1"/>
  <c r="P407" i="31"/>
  <c r="O407" i="31"/>
  <c r="N407" i="31"/>
  <c r="M407" i="31"/>
  <c r="L407" i="31"/>
  <c r="K407" i="31"/>
  <c r="I407" i="31"/>
  <c r="H407" i="31"/>
  <c r="G407" i="31"/>
  <c r="F407" i="31"/>
  <c r="E407" i="31"/>
  <c r="G359" i="31"/>
  <c r="F359" i="31"/>
  <c r="E359" i="31"/>
  <c r="D359" i="31"/>
  <c r="P349" i="31"/>
  <c r="O349" i="31"/>
  <c r="N349" i="31"/>
  <c r="M349" i="31"/>
  <c r="L349" i="31"/>
  <c r="J349" i="31"/>
  <c r="I349" i="31"/>
  <c r="H349" i="31"/>
  <c r="G349" i="31"/>
  <c r="F349" i="31"/>
  <c r="E349" i="31"/>
  <c r="D349" i="31"/>
  <c r="P348" i="31"/>
  <c r="P350" i="31" s="1"/>
  <c r="O348" i="31"/>
  <c r="N348" i="31"/>
  <c r="M348" i="31"/>
  <c r="L348" i="31"/>
  <c r="K348" i="31"/>
  <c r="I348" i="31"/>
  <c r="H348" i="31"/>
  <c r="G348" i="31"/>
  <c r="F348" i="31"/>
  <c r="E348" i="31"/>
  <c r="D348" i="31"/>
  <c r="G346" i="31"/>
  <c r="F346" i="31"/>
  <c r="E346" i="31"/>
  <c r="D346" i="31"/>
  <c r="G345" i="31"/>
  <c r="F345" i="31"/>
  <c r="E345" i="31"/>
  <c r="D345" i="31"/>
  <c r="O344" i="31"/>
  <c r="N344" i="31"/>
  <c r="M344" i="31"/>
  <c r="L344" i="31"/>
  <c r="K344" i="31"/>
  <c r="J344" i="31"/>
  <c r="J350" i="31" s="1"/>
  <c r="I344" i="31"/>
  <c r="I350" i="31" s="1"/>
  <c r="H344" i="31"/>
  <c r="H350" i="31" s="1"/>
  <c r="G344" i="31"/>
  <c r="G350" i="31" s="1"/>
  <c r="F344" i="31"/>
  <c r="F350" i="31" s="1"/>
  <c r="E344" i="31"/>
  <c r="E350" i="31" s="1"/>
  <c r="D344" i="31"/>
  <c r="D350" i="31" s="1"/>
  <c r="G339" i="31"/>
  <c r="F339" i="31"/>
  <c r="E339" i="31"/>
  <c r="D339" i="31"/>
  <c r="G338" i="31"/>
  <c r="G340" i="31" s="1"/>
  <c r="F338" i="31"/>
  <c r="F340" i="31" s="1"/>
  <c r="E338" i="31"/>
  <c r="E340" i="31" s="1"/>
  <c r="D338" i="31"/>
  <c r="D340" i="31" s="1"/>
  <c r="P325" i="31"/>
  <c r="O325" i="31"/>
  <c r="N325" i="31"/>
  <c r="M325" i="31"/>
  <c r="L325" i="31"/>
  <c r="K325" i="31"/>
  <c r="J325" i="31"/>
  <c r="J327" i="31" s="1"/>
  <c r="J588" i="31" s="1"/>
  <c r="I325" i="31"/>
  <c r="H325" i="31"/>
  <c r="G325" i="31"/>
  <c r="F325" i="31"/>
  <c r="E325" i="31"/>
  <c r="D325" i="31"/>
  <c r="P324" i="31"/>
  <c r="O324" i="31"/>
  <c r="N324" i="31"/>
  <c r="M324" i="31"/>
  <c r="L324" i="31"/>
  <c r="K324" i="31"/>
  <c r="I324" i="31"/>
  <c r="I327" i="31" s="1"/>
  <c r="I588" i="31" s="1"/>
  <c r="H324" i="31"/>
  <c r="H327" i="31" s="1"/>
  <c r="H588" i="31" s="1"/>
  <c r="G324" i="31"/>
  <c r="F324" i="31"/>
  <c r="E324" i="31"/>
  <c r="E327" i="31" s="1"/>
  <c r="E588" i="31" s="1"/>
  <c r="D324" i="31"/>
  <c r="D327" i="31" s="1"/>
  <c r="G323" i="31"/>
  <c r="G327" i="31" s="1"/>
  <c r="G588" i="31" s="1"/>
  <c r="F323" i="31"/>
  <c r="F327" i="31" s="1"/>
  <c r="F588" i="31" s="1"/>
  <c r="J317" i="31"/>
  <c r="O315" i="31"/>
  <c r="N315" i="31"/>
  <c r="M315" i="31"/>
  <c r="L315" i="31"/>
  <c r="I315" i="31"/>
  <c r="G315" i="31"/>
  <c r="F315" i="31"/>
  <c r="D315" i="31"/>
  <c r="P314" i="31"/>
  <c r="P317" i="31" s="1"/>
  <c r="O314" i="31"/>
  <c r="N314" i="31"/>
  <c r="M314" i="31"/>
  <c r="L314" i="31"/>
  <c r="K314" i="31"/>
  <c r="K317" i="31" s="1"/>
  <c r="I314" i="31"/>
  <c r="I317" i="31" s="1"/>
  <c r="H314" i="31"/>
  <c r="H317" i="31" s="1"/>
  <c r="G314" i="31"/>
  <c r="F314" i="31"/>
  <c r="E314" i="31"/>
  <c r="E317" i="31" s="1"/>
  <c r="D314" i="31"/>
  <c r="D317" i="31" s="1"/>
  <c r="N292" i="31"/>
  <c r="N293" i="31" s="1"/>
  <c r="L292" i="31"/>
  <c r="L293" i="31" s="1"/>
  <c r="J292" i="31"/>
  <c r="J293" i="31" s="1"/>
  <c r="I292" i="31"/>
  <c r="I293" i="31" s="1"/>
  <c r="H292" i="31"/>
  <c r="H293" i="31" s="1"/>
  <c r="G292" i="31"/>
  <c r="G293" i="31" s="1"/>
  <c r="F292" i="31"/>
  <c r="F293" i="31" s="1"/>
  <c r="E292" i="31"/>
  <c r="E293" i="31" s="1"/>
  <c r="D292" i="31"/>
  <c r="D293" i="31" s="1"/>
  <c r="N269" i="31"/>
  <c r="N271" i="31" s="1"/>
  <c r="K269" i="31"/>
  <c r="K271" i="31" s="1"/>
  <c r="G269" i="31"/>
  <c r="G271" i="31" s="1"/>
  <c r="E269" i="31"/>
  <c r="E271" i="31" s="1"/>
  <c r="D269" i="31"/>
  <c r="D271" i="31" s="1"/>
  <c r="J267" i="31"/>
  <c r="P255" i="31"/>
  <c r="O255" i="31"/>
  <c r="N255" i="31"/>
  <c r="M255" i="31"/>
  <c r="L255" i="31"/>
  <c r="K255" i="31"/>
  <c r="J255" i="31"/>
  <c r="J257" i="31" s="1"/>
  <c r="I255" i="31"/>
  <c r="H255" i="31"/>
  <c r="G255" i="31"/>
  <c r="F255" i="31"/>
  <c r="E255" i="31"/>
  <c r="D255" i="31"/>
  <c r="P254" i="31"/>
  <c r="O254" i="31"/>
  <c r="N254" i="31"/>
  <c r="M254" i="31"/>
  <c r="L254" i="31"/>
  <c r="K254" i="31"/>
  <c r="I254" i="31"/>
  <c r="I257" i="31" s="1"/>
  <c r="H254" i="31"/>
  <c r="H257" i="31" s="1"/>
  <c r="G254" i="31"/>
  <c r="G257" i="31" s="1"/>
  <c r="F254" i="31"/>
  <c r="F257" i="31" s="1"/>
  <c r="E254" i="31"/>
  <c r="E257" i="31" s="1"/>
  <c r="D254" i="31"/>
  <c r="D257" i="31" s="1"/>
  <c r="O247" i="31"/>
  <c r="N247" i="31"/>
  <c r="M247" i="31"/>
  <c r="L247" i="31"/>
  <c r="K247" i="31"/>
  <c r="G247" i="31"/>
  <c r="F247" i="31"/>
  <c r="D247" i="31"/>
  <c r="O246" i="31"/>
  <c r="N246" i="31"/>
  <c r="N248" i="31" s="1"/>
  <c r="M246" i="31"/>
  <c r="L246" i="31"/>
  <c r="L248" i="31" s="1"/>
  <c r="K246" i="31"/>
  <c r="J246" i="31"/>
  <c r="J248" i="31" s="1"/>
  <c r="I246" i="31"/>
  <c r="H246" i="31"/>
  <c r="G246" i="31"/>
  <c r="F246" i="31"/>
  <c r="E246" i="31"/>
  <c r="E248" i="31" s="1"/>
  <c r="D246" i="31"/>
  <c r="D248" i="31" s="1"/>
  <c r="P232" i="31"/>
  <c r="O232" i="31"/>
  <c r="N232" i="31"/>
  <c r="M232" i="31"/>
  <c r="L232" i="31"/>
  <c r="K232" i="31"/>
  <c r="J232" i="31"/>
  <c r="J234" i="31" s="1"/>
  <c r="G232" i="31"/>
  <c r="F232" i="31"/>
  <c r="E232" i="31"/>
  <c r="D232" i="31"/>
  <c r="P231" i="31"/>
  <c r="O231" i="31"/>
  <c r="N231" i="31"/>
  <c r="M231" i="31"/>
  <c r="L231" i="31"/>
  <c r="K231" i="31"/>
  <c r="I231" i="31"/>
  <c r="I234" i="31" s="1"/>
  <c r="H231" i="31"/>
  <c r="H234" i="31" s="1"/>
  <c r="G231" i="31"/>
  <c r="F231" i="31"/>
  <c r="E231" i="31"/>
  <c r="D231" i="31"/>
  <c r="G230" i="31"/>
  <c r="F230" i="31"/>
  <c r="E230" i="31"/>
  <c r="D230" i="31"/>
  <c r="G229" i="31"/>
  <c r="G234" i="31" s="1"/>
  <c r="F229" i="31"/>
  <c r="F234" i="31" s="1"/>
  <c r="E229" i="31"/>
  <c r="E234" i="31" s="1"/>
  <c r="D229" i="31"/>
  <c r="D234" i="31" s="1"/>
  <c r="N222" i="31"/>
  <c r="L222" i="31"/>
  <c r="J222" i="31"/>
  <c r="I222" i="31"/>
  <c r="H222" i="31"/>
  <c r="G222" i="31"/>
  <c r="F222" i="31"/>
  <c r="E222" i="31"/>
  <c r="D222" i="31"/>
  <c r="N454" i="31"/>
  <c r="G209" i="31"/>
  <c r="F209" i="31"/>
  <c r="E209" i="31"/>
  <c r="D209" i="31"/>
  <c r="P208" i="31"/>
  <c r="O208" i="31"/>
  <c r="N208" i="31"/>
  <c r="M208" i="31"/>
  <c r="L208" i="31"/>
  <c r="K208" i="31"/>
  <c r="J208" i="31"/>
  <c r="J210" i="31" s="1"/>
  <c r="I208" i="31"/>
  <c r="H208" i="31"/>
  <c r="G208" i="31"/>
  <c r="F208" i="31"/>
  <c r="E208" i="31"/>
  <c r="D208" i="31"/>
  <c r="P207" i="31"/>
  <c r="O207" i="31"/>
  <c r="N207" i="31"/>
  <c r="M207" i="31"/>
  <c r="L207" i="31"/>
  <c r="K207" i="31"/>
  <c r="I207" i="31"/>
  <c r="I210" i="31" s="1"/>
  <c r="H207" i="31"/>
  <c r="H210" i="31" s="1"/>
  <c r="G207" i="31"/>
  <c r="F207" i="31"/>
  <c r="E207" i="31"/>
  <c r="D207" i="31"/>
  <c r="G206" i="31"/>
  <c r="F206" i="31"/>
  <c r="P185" i="31"/>
  <c r="O185" i="31"/>
  <c r="N185" i="31"/>
  <c r="M185" i="31"/>
  <c r="L185" i="31"/>
  <c r="K185" i="31"/>
  <c r="I185" i="31"/>
  <c r="H185" i="31"/>
  <c r="G185" i="31"/>
  <c r="F185" i="31"/>
  <c r="E185" i="31"/>
  <c r="D185" i="31"/>
  <c r="P184" i="31"/>
  <c r="P187" i="31" s="1"/>
  <c r="O184" i="31"/>
  <c r="N184" i="31"/>
  <c r="M184" i="31"/>
  <c r="L184" i="31"/>
  <c r="K184" i="31"/>
  <c r="J184" i="31"/>
  <c r="G184" i="31"/>
  <c r="F184" i="31"/>
  <c r="E184" i="31"/>
  <c r="D184" i="31"/>
  <c r="G182" i="31"/>
  <c r="F182" i="31"/>
  <c r="O181" i="31"/>
  <c r="O187" i="31" s="1"/>
  <c r="N181" i="31"/>
  <c r="N187" i="31" s="1"/>
  <c r="M181" i="31"/>
  <c r="M187" i="31" s="1"/>
  <c r="L181" i="31"/>
  <c r="L187" i="31" s="1"/>
  <c r="K181" i="31"/>
  <c r="K187" i="31" s="1"/>
  <c r="J181" i="31"/>
  <c r="J187" i="31" s="1"/>
  <c r="J583" i="31" s="1"/>
  <c r="I181" i="31"/>
  <c r="H181" i="31"/>
  <c r="G181" i="31"/>
  <c r="F181" i="31"/>
  <c r="E181" i="31"/>
  <c r="D181" i="31"/>
  <c r="P150" i="29"/>
  <c r="O150" i="29"/>
  <c r="N150" i="29"/>
  <c r="M150" i="29"/>
  <c r="L150" i="29"/>
  <c r="J150" i="29"/>
  <c r="I150" i="29"/>
  <c r="H150" i="29"/>
  <c r="G150" i="29"/>
  <c r="F150" i="29"/>
  <c r="E150" i="29"/>
  <c r="D150" i="29"/>
  <c r="G64" i="31"/>
  <c r="F64" i="31"/>
  <c r="E64" i="31"/>
  <c r="D64" i="31"/>
  <c r="P63" i="31"/>
  <c r="O63" i="31"/>
  <c r="N63" i="31"/>
  <c r="M63" i="31"/>
  <c r="L63" i="31"/>
  <c r="K63" i="31"/>
  <c r="I63" i="31"/>
  <c r="H63" i="31"/>
  <c r="G63" i="31"/>
  <c r="F63" i="31"/>
  <c r="E63" i="31"/>
  <c r="D63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G61" i="31"/>
  <c r="F61" i="31"/>
  <c r="P60" i="31"/>
  <c r="P65" i="31" s="1"/>
  <c r="P578" i="31" s="1"/>
  <c r="O60" i="31"/>
  <c r="N60" i="31"/>
  <c r="M60" i="31"/>
  <c r="L60" i="31"/>
  <c r="K60" i="31"/>
  <c r="J60" i="31"/>
  <c r="I60" i="31"/>
  <c r="H60" i="31"/>
  <c r="G60" i="31"/>
  <c r="F60" i="31"/>
  <c r="E60" i="31"/>
  <c r="D60" i="31"/>
  <c r="P315" i="29"/>
  <c r="P316" i="29" s="1"/>
  <c r="O315" i="29"/>
  <c r="N315" i="29"/>
  <c r="M315" i="29"/>
  <c r="L315" i="29"/>
  <c r="J315" i="29"/>
  <c r="J316" i="29" s="1"/>
  <c r="I315" i="29"/>
  <c r="H315" i="29"/>
  <c r="H316" i="29" s="1"/>
  <c r="P349" i="29"/>
  <c r="O349" i="29"/>
  <c r="N349" i="29"/>
  <c r="M349" i="29"/>
  <c r="L349" i="29"/>
  <c r="J349" i="29"/>
  <c r="I349" i="29"/>
  <c r="H349" i="29"/>
  <c r="D349" i="29"/>
  <c r="E349" i="29"/>
  <c r="F349" i="29"/>
  <c r="G349" i="29"/>
  <c r="K248" i="31" l="1"/>
  <c r="M248" i="31"/>
  <c r="O248" i="31"/>
  <c r="D439" i="31"/>
  <c r="F439" i="31"/>
  <c r="H439" i="31"/>
  <c r="D484" i="31"/>
  <c r="F484" i="31"/>
  <c r="H484" i="31"/>
  <c r="E508" i="31"/>
  <c r="G508" i="31"/>
  <c r="I533" i="31"/>
  <c r="K533" i="31"/>
  <c r="M533" i="31"/>
  <c r="O533" i="31"/>
  <c r="D555" i="31"/>
  <c r="F555" i="31"/>
  <c r="H555" i="31"/>
  <c r="E65" i="31"/>
  <c r="E578" i="31" s="1"/>
  <c r="G65" i="31"/>
  <c r="G578" i="31" s="1"/>
  <c r="I65" i="31"/>
  <c r="I578" i="31" s="1"/>
  <c r="K65" i="31"/>
  <c r="K578" i="31" s="1"/>
  <c r="M65" i="31"/>
  <c r="M578" i="31" s="1"/>
  <c r="O65" i="31"/>
  <c r="O578" i="31" s="1"/>
  <c r="D187" i="31"/>
  <c r="F187" i="31"/>
  <c r="H187" i="31"/>
  <c r="H583" i="31" s="1"/>
  <c r="G210" i="31"/>
  <c r="E210" i="31"/>
  <c r="L210" i="31"/>
  <c r="N210" i="31"/>
  <c r="P210" i="31"/>
  <c r="L234" i="31"/>
  <c r="N234" i="31"/>
  <c r="P234" i="31"/>
  <c r="F248" i="31"/>
  <c r="H248" i="31"/>
  <c r="K257" i="31"/>
  <c r="M257" i="31"/>
  <c r="O257" i="31"/>
  <c r="F317" i="31"/>
  <c r="M317" i="31"/>
  <c r="O317" i="31"/>
  <c r="K327" i="31"/>
  <c r="M327" i="31"/>
  <c r="O327" i="31"/>
  <c r="K350" i="31"/>
  <c r="M350" i="31"/>
  <c r="O350" i="31"/>
  <c r="E439" i="31"/>
  <c r="G439" i="31"/>
  <c r="I439" i="31"/>
  <c r="E484" i="31"/>
  <c r="G484" i="31"/>
  <c r="I484" i="31"/>
  <c r="D508" i="31"/>
  <c r="F508" i="31"/>
  <c r="H533" i="31"/>
  <c r="J533" i="31"/>
  <c r="J593" i="31" s="1"/>
  <c r="L533" i="31"/>
  <c r="N533" i="31"/>
  <c r="P533" i="31"/>
  <c r="P593" i="31" s="1"/>
  <c r="E555" i="31"/>
  <c r="G555" i="31"/>
  <c r="I555" i="31"/>
  <c r="D223" i="31"/>
  <c r="D454" i="31"/>
  <c r="F223" i="31"/>
  <c r="F454" i="31"/>
  <c r="H223" i="31"/>
  <c r="H454" i="31"/>
  <c r="K223" i="31"/>
  <c r="K454" i="31"/>
  <c r="M223" i="31"/>
  <c r="M454" i="31"/>
  <c r="O223" i="31"/>
  <c r="O454" i="31"/>
  <c r="E223" i="31"/>
  <c r="E454" i="31"/>
  <c r="G223" i="31"/>
  <c r="G454" i="31"/>
  <c r="I223" i="31"/>
  <c r="I454" i="31"/>
  <c r="L223" i="31"/>
  <c r="L454" i="31"/>
  <c r="P223" i="31"/>
  <c r="P454" i="31"/>
  <c r="J223" i="31"/>
  <c r="D533" i="31"/>
  <c r="F533" i="31"/>
  <c r="I508" i="31"/>
  <c r="K508" i="31"/>
  <c r="K593" i="31" s="1"/>
  <c r="M508" i="31"/>
  <c r="M593" i="31" s="1"/>
  <c r="O508" i="31"/>
  <c r="O593" i="31" s="1"/>
  <c r="E533" i="31"/>
  <c r="G533" i="31"/>
  <c r="H508" i="31"/>
  <c r="L508" i="31"/>
  <c r="L593" i="31" s="1"/>
  <c r="N508" i="31"/>
  <c r="N593" i="31" s="1"/>
  <c r="E187" i="31"/>
  <c r="E583" i="31" s="1"/>
  <c r="G187" i="31"/>
  <c r="G583" i="31" s="1"/>
  <c r="I187" i="31"/>
  <c r="I583" i="31" s="1"/>
  <c r="F210" i="31"/>
  <c r="D210" i="31"/>
  <c r="K210" i="31"/>
  <c r="M210" i="31"/>
  <c r="O210" i="31"/>
  <c r="N223" i="31"/>
  <c r="K234" i="31"/>
  <c r="M234" i="31"/>
  <c r="O234" i="31"/>
  <c r="G248" i="31"/>
  <c r="I248" i="31"/>
  <c r="L257" i="31"/>
  <c r="N257" i="31"/>
  <c r="P257" i="31"/>
  <c r="G317" i="31"/>
  <c r="L317" i="31"/>
  <c r="L327" i="31"/>
  <c r="N327" i="31"/>
  <c r="N588" i="31" s="1"/>
  <c r="P327" i="31"/>
  <c r="P588" i="31" s="1"/>
  <c r="L350" i="31"/>
  <c r="N350" i="31"/>
  <c r="N317" i="31"/>
  <c r="D65" i="31"/>
  <c r="F65" i="31"/>
  <c r="F578" i="31" s="1"/>
  <c r="H65" i="31"/>
  <c r="H578" i="31" s="1"/>
  <c r="J65" i="31"/>
  <c r="J578" i="31" s="1"/>
  <c r="L65" i="31"/>
  <c r="L578" i="31" s="1"/>
  <c r="N65" i="31"/>
  <c r="N578" i="31" s="1"/>
  <c r="G488" i="29"/>
  <c r="F488" i="29"/>
  <c r="E488" i="29"/>
  <c r="D488" i="29"/>
  <c r="P213" i="29"/>
  <c r="O213" i="29"/>
  <c r="N213" i="29"/>
  <c r="M213" i="29"/>
  <c r="L213" i="29"/>
  <c r="K213" i="29"/>
  <c r="J213" i="29"/>
  <c r="I213" i="29"/>
  <c r="H213" i="29"/>
  <c r="G213" i="29"/>
  <c r="F213" i="29"/>
  <c r="E213" i="29"/>
  <c r="D213" i="29"/>
  <c r="G532" i="29"/>
  <c r="F532" i="29"/>
  <c r="E532" i="29"/>
  <c r="D532" i="29"/>
  <c r="G531" i="29"/>
  <c r="F531" i="29"/>
  <c r="E531" i="29"/>
  <c r="D531" i="29"/>
  <c r="G555" i="29"/>
  <c r="F555" i="29"/>
  <c r="E555" i="29"/>
  <c r="D555" i="29"/>
  <c r="G394" i="29"/>
  <c r="F394" i="29"/>
  <c r="D394" i="29"/>
  <c r="G359" i="29"/>
  <c r="F359" i="29"/>
  <c r="E359" i="29"/>
  <c r="D359" i="29"/>
  <c r="G139" i="29"/>
  <c r="F139" i="29"/>
  <c r="E139" i="29"/>
  <c r="D139" i="29"/>
  <c r="G275" i="29"/>
  <c r="F275" i="29"/>
  <c r="D275" i="29"/>
  <c r="O243" i="29"/>
  <c r="N243" i="29"/>
  <c r="M243" i="29"/>
  <c r="L243" i="29"/>
  <c r="K243" i="29"/>
  <c r="J243" i="29"/>
  <c r="J245" i="29" s="1"/>
  <c r="I243" i="29"/>
  <c r="H243" i="29"/>
  <c r="H245" i="29" s="1"/>
  <c r="G243" i="29"/>
  <c r="F243" i="29"/>
  <c r="E243" i="29"/>
  <c r="E245" i="29" s="1"/>
  <c r="D243" i="29"/>
  <c r="N220" i="29"/>
  <c r="L220" i="29"/>
  <c r="J220" i="29"/>
  <c r="J221" i="29" s="1"/>
  <c r="I220" i="29"/>
  <c r="H220" i="29"/>
  <c r="G220" i="29"/>
  <c r="F220" i="29"/>
  <c r="E220" i="29"/>
  <c r="D220" i="29"/>
  <c r="P183" i="29"/>
  <c r="O183" i="29"/>
  <c r="N183" i="29"/>
  <c r="M183" i="29"/>
  <c r="L183" i="29"/>
  <c r="K183" i="29"/>
  <c r="J183" i="29"/>
  <c r="G183" i="29"/>
  <c r="F183" i="29"/>
  <c r="E183" i="29"/>
  <c r="D183" i="29"/>
  <c r="G158" i="29"/>
  <c r="F158" i="29"/>
  <c r="E158" i="29"/>
  <c r="D158" i="29"/>
  <c r="G157" i="29"/>
  <c r="F157" i="29"/>
  <c r="E157" i="29"/>
  <c r="D157" i="29"/>
  <c r="G109" i="29"/>
  <c r="F109" i="29"/>
  <c r="E109" i="29"/>
  <c r="D109" i="29"/>
  <c r="P100" i="31"/>
  <c r="O100" i="31"/>
  <c r="N100" i="31"/>
  <c r="M100" i="31"/>
  <c r="L100" i="31"/>
  <c r="K100" i="31"/>
  <c r="I100" i="31"/>
  <c r="H100" i="31"/>
  <c r="G100" i="31"/>
  <c r="F100" i="31"/>
  <c r="E100" i="31"/>
  <c r="D100" i="31"/>
  <c r="P96" i="29"/>
  <c r="O96" i="29"/>
  <c r="N96" i="29"/>
  <c r="M96" i="29"/>
  <c r="L96" i="29"/>
  <c r="K96" i="29"/>
  <c r="I96" i="29"/>
  <c r="H96" i="29"/>
  <c r="G96" i="29"/>
  <c r="F96" i="29"/>
  <c r="E96" i="29"/>
  <c r="D96" i="29"/>
  <c r="M583" i="31" l="1"/>
  <c r="P583" i="31"/>
  <c r="L583" i="31"/>
  <c r="O583" i="31"/>
  <c r="K583" i="31"/>
  <c r="N583" i="31"/>
  <c r="P597" i="31"/>
  <c r="N597" i="31"/>
  <c r="J597" i="31"/>
  <c r="I593" i="31"/>
  <c r="E593" i="31"/>
  <c r="O588" i="31"/>
  <c r="K588" i="31"/>
  <c r="F583" i="31"/>
  <c r="O597" i="31"/>
  <c r="K597" i="31"/>
  <c r="H593" i="31"/>
  <c r="H597" i="31" s="1"/>
  <c r="L588" i="31"/>
  <c r="L597" i="31" s="1"/>
  <c r="G593" i="31"/>
  <c r="M588" i="31"/>
  <c r="M597" i="31" s="1"/>
  <c r="I597" i="31"/>
  <c r="E597" i="31"/>
  <c r="F593" i="31"/>
  <c r="G14" i="29"/>
  <c r="F14" i="29"/>
  <c r="D14" i="29"/>
  <c r="P80" i="31"/>
  <c r="O80" i="31"/>
  <c r="N80" i="31"/>
  <c r="M80" i="31"/>
  <c r="L80" i="31"/>
  <c r="K80" i="31"/>
  <c r="I80" i="31"/>
  <c r="H80" i="31"/>
  <c r="G80" i="31"/>
  <c r="F80" i="31"/>
  <c r="E80" i="31"/>
  <c r="D80" i="31"/>
  <c r="P79" i="31"/>
  <c r="O79" i="31"/>
  <c r="N79" i="31"/>
  <c r="M79" i="31"/>
  <c r="L79" i="31"/>
  <c r="K79" i="31"/>
  <c r="J79" i="31"/>
  <c r="I79" i="31"/>
  <c r="H79" i="31"/>
  <c r="G79" i="31"/>
  <c r="F79" i="31"/>
  <c r="E79" i="31"/>
  <c r="D79" i="31"/>
  <c r="P78" i="31"/>
  <c r="O78" i="31"/>
  <c r="N78" i="31"/>
  <c r="M78" i="31"/>
  <c r="L78" i="31"/>
  <c r="K78" i="31"/>
  <c r="J78" i="31"/>
  <c r="G78" i="31"/>
  <c r="F78" i="31"/>
  <c r="E78" i="31"/>
  <c r="D78" i="31"/>
  <c r="P59" i="29"/>
  <c r="O59" i="29"/>
  <c r="N59" i="29"/>
  <c r="M59" i="29"/>
  <c r="L59" i="29"/>
  <c r="K59" i="29"/>
  <c r="I59" i="29"/>
  <c r="H59" i="29"/>
  <c r="G59" i="29"/>
  <c r="F59" i="29"/>
  <c r="E59" i="29"/>
  <c r="D59" i="29"/>
  <c r="P76" i="29"/>
  <c r="O76" i="29"/>
  <c r="N76" i="29"/>
  <c r="M76" i="29"/>
  <c r="L76" i="29"/>
  <c r="K76" i="29"/>
  <c r="J76" i="29"/>
  <c r="I76" i="29"/>
  <c r="H76" i="29"/>
  <c r="G76" i="29"/>
  <c r="F76" i="29"/>
  <c r="E76" i="29"/>
  <c r="D76" i="29"/>
  <c r="G597" i="31" l="1"/>
  <c r="F597" i="31"/>
  <c r="K81" i="31"/>
  <c r="M81" i="31"/>
  <c r="O81" i="31"/>
  <c r="H81" i="31"/>
  <c r="J81" i="31"/>
  <c r="L81" i="31"/>
  <c r="N81" i="31"/>
  <c r="P81" i="31"/>
  <c r="I81" i="31"/>
  <c r="G281" i="29"/>
  <c r="F281" i="29"/>
  <c r="E281" i="29"/>
  <c r="D281" i="29"/>
  <c r="O502" i="29"/>
  <c r="O504" i="29" s="1"/>
  <c r="N502" i="29"/>
  <c r="N504" i="29" s="1"/>
  <c r="M502" i="29"/>
  <c r="M504" i="29" s="1"/>
  <c r="L502" i="29"/>
  <c r="L504" i="29" s="1"/>
  <c r="K502" i="29"/>
  <c r="K504" i="29" s="1"/>
  <c r="J502" i="29"/>
  <c r="J504" i="29" s="1"/>
  <c r="I502" i="29"/>
  <c r="H502" i="29"/>
  <c r="G502" i="29"/>
  <c r="F502" i="29"/>
  <c r="E502" i="29"/>
  <c r="D502" i="29"/>
  <c r="P362" i="29"/>
  <c r="P364" i="29" s="1"/>
  <c r="O362" i="29"/>
  <c r="N362" i="29"/>
  <c r="M362" i="29"/>
  <c r="M364" i="29" s="1"/>
  <c r="L362" i="29"/>
  <c r="K362" i="29"/>
  <c r="K364" i="29" s="1"/>
  <c r="I362" i="29"/>
  <c r="H362" i="29"/>
  <c r="G362" i="29"/>
  <c r="F362" i="29"/>
  <c r="E362" i="29"/>
  <c r="D362" i="29"/>
  <c r="P362" i="31"/>
  <c r="P364" i="31" s="1"/>
  <c r="O362" i="31"/>
  <c r="N362" i="31"/>
  <c r="M362" i="31"/>
  <c r="M364" i="31" s="1"/>
  <c r="L362" i="31"/>
  <c r="K362" i="31"/>
  <c r="K364" i="31" s="1"/>
  <c r="I362" i="31"/>
  <c r="H362" i="31"/>
  <c r="G362" i="31"/>
  <c r="F362" i="31"/>
  <c r="E362" i="31"/>
  <c r="D362" i="31"/>
  <c r="P221" i="29"/>
  <c r="O221" i="29"/>
  <c r="N221" i="29"/>
  <c r="M221" i="29"/>
  <c r="L221" i="29"/>
  <c r="K221" i="29"/>
  <c r="I221" i="29"/>
  <c r="H221" i="29"/>
  <c r="G221" i="29"/>
  <c r="F221" i="29"/>
  <c r="E221" i="29"/>
  <c r="D221" i="29"/>
  <c r="G313" i="29"/>
  <c r="F313" i="29"/>
  <c r="E313" i="29"/>
  <c r="E316" i="29" s="1"/>
  <c r="D313" i="29"/>
  <c r="G114" i="29"/>
  <c r="F114" i="29"/>
  <c r="E114" i="29"/>
  <c r="D114" i="29"/>
  <c r="O45" i="29"/>
  <c r="N45" i="29"/>
  <c r="M45" i="29"/>
  <c r="L45" i="29"/>
  <c r="K45" i="29"/>
  <c r="I45" i="29"/>
  <c r="G45" i="29"/>
  <c r="F45" i="29"/>
  <c r="E45" i="29"/>
  <c r="D45" i="29"/>
  <c r="O402" i="29"/>
  <c r="N402" i="29"/>
  <c r="M402" i="29"/>
  <c r="L402" i="29"/>
  <c r="K402" i="29"/>
  <c r="I402" i="29"/>
  <c r="G402" i="29"/>
  <c r="F402" i="29"/>
  <c r="E402" i="29"/>
  <c r="D402" i="29"/>
  <c r="O400" i="31"/>
  <c r="N400" i="31"/>
  <c r="M400" i="31"/>
  <c r="L400" i="31"/>
  <c r="K400" i="31"/>
  <c r="I400" i="31"/>
  <c r="G400" i="31"/>
  <c r="F400" i="31"/>
  <c r="E400" i="31"/>
  <c r="D400" i="31"/>
  <c r="O49" i="31"/>
  <c r="N49" i="31"/>
  <c r="M49" i="31"/>
  <c r="L49" i="31"/>
  <c r="K49" i="31"/>
  <c r="I49" i="31"/>
  <c r="N289" i="29"/>
  <c r="N290" i="29" s="1"/>
  <c r="L289" i="29"/>
  <c r="L290" i="29" s="1"/>
  <c r="J289" i="29"/>
  <c r="J290" i="29" s="1"/>
  <c r="I289" i="29"/>
  <c r="I290" i="29" s="1"/>
  <c r="H289" i="29"/>
  <c r="H290" i="29" s="1"/>
  <c r="G289" i="29"/>
  <c r="G290" i="29" s="1"/>
  <c r="F289" i="29"/>
  <c r="F290" i="29" s="1"/>
  <c r="E289" i="29"/>
  <c r="E290" i="29" s="1"/>
  <c r="D289" i="29"/>
  <c r="D290" i="29" s="1"/>
  <c r="G77" i="31"/>
  <c r="F77" i="31"/>
  <c r="E77" i="31"/>
  <c r="D77" i="31"/>
  <c r="G74" i="29"/>
  <c r="F74" i="29"/>
  <c r="E74" i="29"/>
  <c r="D74" i="29"/>
  <c r="G36" i="29"/>
  <c r="F36" i="29"/>
  <c r="E36" i="29"/>
  <c r="D36" i="29"/>
  <c r="G458" i="29"/>
  <c r="F458" i="29"/>
  <c r="E458" i="29"/>
  <c r="D458" i="29"/>
  <c r="G346" i="29"/>
  <c r="F346" i="29"/>
  <c r="E346" i="29"/>
  <c r="D346" i="29"/>
  <c r="G339" i="29"/>
  <c r="F339" i="29"/>
  <c r="E339" i="29"/>
  <c r="D339" i="29"/>
  <c r="G228" i="29"/>
  <c r="F228" i="29"/>
  <c r="E228" i="29"/>
  <c r="D228" i="29"/>
  <c r="M105" i="31"/>
  <c r="K105" i="31"/>
  <c r="G100" i="29"/>
  <c r="O142" i="29"/>
  <c r="N142" i="29"/>
  <c r="M142" i="29"/>
  <c r="L142" i="29"/>
  <c r="K142" i="29"/>
  <c r="G142" i="29"/>
  <c r="F142" i="29"/>
  <c r="D142" i="29"/>
  <c r="O51" i="29"/>
  <c r="O52" i="29" s="1"/>
  <c r="N51" i="29"/>
  <c r="N52" i="29" s="1"/>
  <c r="M51" i="29"/>
  <c r="M52" i="29" s="1"/>
  <c r="L51" i="29"/>
  <c r="L52" i="29" s="1"/>
  <c r="K51" i="29"/>
  <c r="K52" i="29" s="1"/>
  <c r="I52" i="29"/>
  <c r="H52" i="29"/>
  <c r="G51" i="29"/>
  <c r="G52" i="29" s="1"/>
  <c r="F51" i="29"/>
  <c r="F52" i="29" s="1"/>
  <c r="D51" i="29"/>
  <c r="D52" i="29" s="1"/>
  <c r="O562" i="29"/>
  <c r="N562" i="29"/>
  <c r="M562" i="29"/>
  <c r="L562" i="29"/>
  <c r="K562" i="29"/>
  <c r="G562" i="29"/>
  <c r="F562" i="29"/>
  <c r="D562" i="29"/>
  <c r="O426" i="29"/>
  <c r="N426" i="29"/>
  <c r="M426" i="29"/>
  <c r="L426" i="29"/>
  <c r="K426" i="29"/>
  <c r="G426" i="29"/>
  <c r="F426" i="29"/>
  <c r="D426" i="29"/>
  <c r="O308" i="29"/>
  <c r="N308" i="29"/>
  <c r="M308" i="29"/>
  <c r="L308" i="29"/>
  <c r="K308" i="29"/>
  <c r="G308" i="29"/>
  <c r="F308" i="29"/>
  <c r="D308" i="29"/>
  <c r="O562" i="31"/>
  <c r="N562" i="31"/>
  <c r="M562" i="31"/>
  <c r="L562" i="31"/>
  <c r="K562" i="31"/>
  <c r="G562" i="31"/>
  <c r="F562" i="31"/>
  <c r="D562" i="31"/>
  <c r="O422" i="31"/>
  <c r="N422" i="31"/>
  <c r="M422" i="31"/>
  <c r="L422" i="31"/>
  <c r="K422" i="31"/>
  <c r="G422" i="31"/>
  <c r="F422" i="31"/>
  <c r="D422" i="31"/>
  <c r="O309" i="31"/>
  <c r="N309" i="31"/>
  <c r="M309" i="31"/>
  <c r="L309" i="31"/>
  <c r="K309" i="31"/>
  <c r="G309" i="31"/>
  <c r="F309" i="31"/>
  <c r="D309" i="31"/>
  <c r="O145" i="31"/>
  <c r="N145" i="31"/>
  <c r="M145" i="31"/>
  <c r="L145" i="31"/>
  <c r="K145" i="31"/>
  <c r="G145" i="31"/>
  <c r="F145" i="31"/>
  <c r="D145" i="31"/>
  <c r="O244" i="29"/>
  <c r="O245" i="29" s="1"/>
  <c r="N244" i="29"/>
  <c r="N245" i="29" s="1"/>
  <c r="M244" i="29"/>
  <c r="M245" i="29" s="1"/>
  <c r="L244" i="29"/>
  <c r="L245" i="29" s="1"/>
  <c r="K244" i="29"/>
  <c r="K245" i="29" s="1"/>
  <c r="I245" i="29"/>
  <c r="G244" i="29"/>
  <c r="G245" i="29" s="1"/>
  <c r="F244" i="29"/>
  <c r="F245" i="29" s="1"/>
  <c r="D244" i="29"/>
  <c r="D245" i="29" s="1"/>
  <c r="P468" i="31"/>
  <c r="O468" i="31"/>
  <c r="N468" i="31"/>
  <c r="M468" i="31"/>
  <c r="L468" i="31"/>
  <c r="K468" i="31"/>
  <c r="J468" i="31"/>
  <c r="I468" i="31"/>
  <c r="H468" i="31"/>
  <c r="G468" i="31"/>
  <c r="F468" i="31"/>
  <c r="E468" i="31"/>
  <c r="D468" i="31"/>
  <c r="P120" i="31"/>
  <c r="O120" i="31"/>
  <c r="N120" i="31"/>
  <c r="M120" i="31"/>
  <c r="L120" i="31"/>
  <c r="K120" i="31"/>
  <c r="J120" i="31"/>
  <c r="I120" i="31"/>
  <c r="H120" i="31"/>
  <c r="G120" i="31"/>
  <c r="F120" i="31"/>
  <c r="E120" i="31"/>
  <c r="D120" i="31"/>
  <c r="P21" i="31"/>
  <c r="O21" i="31"/>
  <c r="M21" i="31"/>
  <c r="L21" i="31"/>
  <c r="K21" i="31"/>
  <c r="J21" i="31"/>
  <c r="G21" i="31"/>
  <c r="F21" i="31"/>
  <c r="E21" i="31"/>
  <c r="D21" i="31"/>
  <c r="K260" i="29"/>
  <c r="G260" i="29"/>
  <c r="F260" i="29"/>
  <c r="E260" i="29"/>
  <c r="D260" i="29"/>
  <c r="P67" i="29"/>
  <c r="O67" i="29"/>
  <c r="M67" i="29"/>
  <c r="L67" i="29"/>
  <c r="K67" i="29"/>
  <c r="J67" i="29"/>
  <c r="G67" i="29"/>
  <c r="F67" i="29"/>
  <c r="E67" i="29"/>
  <c r="D67" i="29"/>
  <c r="P168" i="31"/>
  <c r="O168" i="31"/>
  <c r="N168" i="31"/>
  <c r="M168" i="31"/>
  <c r="L168" i="31"/>
  <c r="K168" i="31"/>
  <c r="J168" i="31"/>
  <c r="I168" i="31"/>
  <c r="H168" i="31"/>
  <c r="G168" i="31"/>
  <c r="F168" i="31"/>
  <c r="E168" i="31"/>
  <c r="D168" i="31"/>
  <c r="P355" i="29"/>
  <c r="O355" i="29"/>
  <c r="M355" i="29"/>
  <c r="L355" i="29"/>
  <c r="K355" i="29"/>
  <c r="J355" i="29"/>
  <c r="G355" i="29"/>
  <c r="F355" i="29"/>
  <c r="E355" i="29"/>
  <c r="D355" i="29"/>
  <c r="P131" i="29"/>
  <c r="O131" i="29"/>
  <c r="N131" i="29"/>
  <c r="M131" i="29"/>
  <c r="L131" i="29"/>
  <c r="K131" i="29"/>
  <c r="J131" i="29"/>
  <c r="G131" i="29"/>
  <c r="F131" i="29"/>
  <c r="E131" i="29"/>
  <c r="D131" i="29"/>
  <c r="P85" i="29"/>
  <c r="O85" i="29"/>
  <c r="N85" i="29"/>
  <c r="M85" i="29"/>
  <c r="L85" i="29"/>
  <c r="K85" i="29"/>
  <c r="J85" i="29"/>
  <c r="G85" i="29"/>
  <c r="F85" i="29"/>
  <c r="E85" i="29"/>
  <c r="D85" i="29"/>
  <c r="P75" i="29"/>
  <c r="O75" i="29"/>
  <c r="N75" i="29"/>
  <c r="M75" i="29"/>
  <c r="L75" i="29"/>
  <c r="K75" i="29"/>
  <c r="J75" i="29"/>
  <c r="J78" i="29" s="1"/>
  <c r="G75" i="29"/>
  <c r="F75" i="29"/>
  <c r="E75" i="29"/>
  <c r="D75" i="29"/>
  <c r="P38" i="29"/>
  <c r="O38" i="29"/>
  <c r="N38" i="29"/>
  <c r="M38" i="29"/>
  <c r="L38" i="29"/>
  <c r="K38" i="29"/>
  <c r="J38" i="29"/>
  <c r="G38" i="29"/>
  <c r="F38" i="29"/>
  <c r="E38" i="29"/>
  <c r="D38" i="29"/>
  <c r="P534" i="29"/>
  <c r="O534" i="29"/>
  <c r="N534" i="29"/>
  <c r="M534" i="29"/>
  <c r="L534" i="29"/>
  <c r="K534" i="29"/>
  <c r="J534" i="29"/>
  <c r="G534" i="29"/>
  <c r="F534" i="29"/>
  <c r="E534" i="29"/>
  <c r="D534" i="29"/>
  <c r="P393" i="29"/>
  <c r="O393" i="29"/>
  <c r="N393" i="29"/>
  <c r="M393" i="29"/>
  <c r="L393" i="29"/>
  <c r="K393" i="29"/>
  <c r="J393" i="29"/>
  <c r="J395" i="29" s="1"/>
  <c r="G393" i="29"/>
  <c r="F393" i="29"/>
  <c r="E393" i="29"/>
  <c r="D393" i="29"/>
  <c r="P230" i="29"/>
  <c r="O230" i="29"/>
  <c r="N230" i="29"/>
  <c r="M230" i="29"/>
  <c r="L230" i="29"/>
  <c r="K230" i="29"/>
  <c r="J230" i="29"/>
  <c r="J232" i="29" s="1"/>
  <c r="G230" i="29"/>
  <c r="F230" i="29"/>
  <c r="E230" i="29"/>
  <c r="D230" i="29"/>
  <c r="P63" i="29" l="1"/>
  <c r="O63" i="29"/>
  <c r="N63" i="29"/>
  <c r="M63" i="29"/>
  <c r="L63" i="29"/>
  <c r="K63" i="29"/>
  <c r="J63" i="29"/>
  <c r="I63" i="29"/>
  <c r="H63" i="29"/>
  <c r="G63" i="29"/>
  <c r="F63" i="29"/>
  <c r="E63" i="29"/>
  <c r="D63" i="29"/>
  <c r="P116" i="31"/>
  <c r="O116" i="31"/>
  <c r="N116" i="31"/>
  <c r="M116" i="31"/>
  <c r="L116" i="31"/>
  <c r="K116" i="31"/>
  <c r="J116" i="31"/>
  <c r="I116" i="31"/>
  <c r="H116" i="31"/>
  <c r="G116" i="31"/>
  <c r="F116" i="31"/>
  <c r="E116" i="31"/>
  <c r="D116" i="31"/>
  <c r="N369" i="29" l="1"/>
  <c r="L369" i="29"/>
  <c r="J369" i="29"/>
  <c r="I369" i="29"/>
  <c r="H369" i="29"/>
  <c r="G369" i="29"/>
  <c r="F369" i="29"/>
  <c r="E369" i="29"/>
  <c r="D369" i="29"/>
  <c r="G337" i="29"/>
  <c r="F337" i="29"/>
  <c r="E337" i="29"/>
  <c r="D337" i="29"/>
  <c r="O168" i="29"/>
  <c r="N168" i="29"/>
  <c r="M168" i="29"/>
  <c r="L168" i="29"/>
  <c r="I168" i="29"/>
  <c r="G168" i="29"/>
  <c r="F168" i="29"/>
  <c r="E168" i="29"/>
  <c r="D168" i="29"/>
  <c r="O169" i="31"/>
  <c r="N169" i="31"/>
  <c r="M169" i="31"/>
  <c r="L169" i="31"/>
  <c r="I169" i="31"/>
  <c r="G169" i="31"/>
  <c r="F169" i="31"/>
  <c r="E169" i="31"/>
  <c r="D169" i="31"/>
  <c r="I174" i="29"/>
  <c r="I176" i="29" s="1"/>
  <c r="H174" i="29"/>
  <c r="H176" i="29" s="1"/>
  <c r="G174" i="29"/>
  <c r="G176" i="29" s="1"/>
  <c r="F174" i="29"/>
  <c r="F176" i="29" s="1"/>
  <c r="E174" i="29"/>
  <c r="E176" i="29" s="1"/>
  <c r="D174" i="29"/>
  <c r="D176" i="29" s="1"/>
  <c r="I503" i="29"/>
  <c r="I504" i="29" s="1"/>
  <c r="H503" i="29"/>
  <c r="H504" i="29" s="1"/>
  <c r="G503" i="29"/>
  <c r="G504" i="29" s="1"/>
  <c r="O314" i="29"/>
  <c r="O316" i="29" s="1"/>
  <c r="N314" i="29"/>
  <c r="N316" i="29" s="1"/>
  <c r="M314" i="29"/>
  <c r="M316" i="29" s="1"/>
  <c r="L314" i="29"/>
  <c r="L316" i="29" s="1"/>
  <c r="I314" i="29"/>
  <c r="I316" i="29" s="1"/>
  <c r="G314" i="29"/>
  <c r="G316" i="29" s="1"/>
  <c r="F314" i="29"/>
  <c r="F316" i="29" s="1"/>
  <c r="D314" i="29"/>
  <c r="D316" i="29" s="1"/>
  <c r="O363" i="29"/>
  <c r="O364" i="29" s="1"/>
  <c r="N363" i="29"/>
  <c r="N364" i="29" s="1"/>
  <c r="L363" i="29"/>
  <c r="L364" i="29" s="1"/>
  <c r="J363" i="29"/>
  <c r="J364" i="29" s="1"/>
  <c r="I363" i="29"/>
  <c r="I364" i="29" s="1"/>
  <c r="H363" i="29"/>
  <c r="H364" i="29" s="1"/>
  <c r="G363" i="29"/>
  <c r="G364" i="29" s="1"/>
  <c r="F363" i="29"/>
  <c r="F364" i="29" s="1"/>
  <c r="E363" i="29"/>
  <c r="E364" i="29" s="1"/>
  <c r="D363" i="29"/>
  <c r="D364" i="29" s="1"/>
  <c r="O363" i="31"/>
  <c r="O364" i="31" s="1"/>
  <c r="N363" i="31"/>
  <c r="N364" i="31" s="1"/>
  <c r="L363" i="31"/>
  <c r="L364" i="31" s="1"/>
  <c r="J363" i="31"/>
  <c r="J364" i="31" s="1"/>
  <c r="I363" i="31"/>
  <c r="I364" i="31" s="1"/>
  <c r="H363" i="31"/>
  <c r="H364" i="31" s="1"/>
  <c r="G363" i="31"/>
  <c r="G364" i="31" s="1"/>
  <c r="F363" i="31"/>
  <c r="F364" i="31" s="1"/>
  <c r="E363" i="31"/>
  <c r="E364" i="31" s="1"/>
  <c r="D363" i="31"/>
  <c r="D364" i="31" s="1"/>
  <c r="P352" i="31"/>
  <c r="O352" i="31"/>
  <c r="N352" i="31"/>
  <c r="M352" i="31"/>
  <c r="L352" i="31"/>
  <c r="K352" i="31"/>
  <c r="J352" i="31"/>
  <c r="I352" i="31"/>
  <c r="H352" i="31"/>
  <c r="G352" i="31"/>
  <c r="F352" i="31"/>
  <c r="E352" i="31"/>
  <c r="D352" i="31"/>
  <c r="P212" i="31"/>
  <c r="O212" i="31"/>
  <c r="N212" i="31"/>
  <c r="M212" i="31"/>
  <c r="L212" i="31"/>
  <c r="K212" i="31"/>
  <c r="J212" i="31"/>
  <c r="I212" i="31"/>
  <c r="H212" i="31"/>
  <c r="G212" i="31"/>
  <c r="F212" i="31"/>
  <c r="E212" i="31"/>
  <c r="D212" i="31"/>
  <c r="P324" i="29"/>
  <c r="O324" i="29"/>
  <c r="N324" i="29"/>
  <c r="M324" i="29"/>
  <c r="L324" i="29"/>
  <c r="K324" i="29"/>
  <c r="J324" i="29"/>
  <c r="I324" i="29"/>
  <c r="H324" i="29"/>
  <c r="G324" i="29"/>
  <c r="F324" i="29"/>
  <c r="E324" i="29"/>
  <c r="D324" i="29"/>
  <c r="P252" i="29"/>
  <c r="O252" i="29"/>
  <c r="N252" i="29"/>
  <c r="M252" i="29"/>
  <c r="L252" i="29"/>
  <c r="K252" i="29"/>
  <c r="J252" i="29"/>
  <c r="J254" i="29" s="1"/>
  <c r="I252" i="29"/>
  <c r="H252" i="29"/>
  <c r="G252" i="29"/>
  <c r="F252" i="29"/>
  <c r="E252" i="29"/>
  <c r="D252" i="29"/>
  <c r="P206" i="29"/>
  <c r="O206" i="29"/>
  <c r="N206" i="29"/>
  <c r="M206" i="29"/>
  <c r="L206" i="29"/>
  <c r="K206" i="29"/>
  <c r="J206" i="29"/>
  <c r="J208" i="29" s="1"/>
  <c r="I206" i="29"/>
  <c r="H206" i="29"/>
  <c r="G206" i="29"/>
  <c r="F206" i="29"/>
  <c r="E206" i="29"/>
  <c r="D206" i="29"/>
  <c r="P329" i="31"/>
  <c r="O329" i="31"/>
  <c r="N329" i="31"/>
  <c r="M329" i="31"/>
  <c r="L329" i="31"/>
  <c r="K329" i="31"/>
  <c r="J329" i="31"/>
  <c r="I329" i="31"/>
  <c r="H329" i="31"/>
  <c r="G329" i="31"/>
  <c r="F329" i="31"/>
  <c r="E329" i="31"/>
  <c r="D329" i="31"/>
  <c r="P470" i="29"/>
  <c r="O470" i="29"/>
  <c r="N470" i="29"/>
  <c r="M470" i="29"/>
  <c r="L470" i="29"/>
  <c r="K470" i="29"/>
  <c r="I470" i="29"/>
  <c r="H470" i="29"/>
  <c r="G470" i="29"/>
  <c r="F470" i="29"/>
  <c r="E470" i="29"/>
  <c r="D470" i="29"/>
  <c r="P535" i="31"/>
  <c r="O535" i="31"/>
  <c r="N535" i="31"/>
  <c r="M535" i="31"/>
  <c r="L535" i="31"/>
  <c r="K535" i="31"/>
  <c r="J535" i="31"/>
  <c r="I535" i="31"/>
  <c r="H535" i="31"/>
  <c r="G535" i="31"/>
  <c r="F535" i="31"/>
  <c r="E535" i="31"/>
  <c r="D535" i="31"/>
  <c r="P397" i="29"/>
  <c r="O397" i="29"/>
  <c r="N397" i="29"/>
  <c r="M397" i="29"/>
  <c r="L397" i="29"/>
  <c r="K397" i="29"/>
  <c r="I397" i="29"/>
  <c r="J397" i="29"/>
  <c r="H397" i="29"/>
  <c r="G397" i="29"/>
  <c r="F397" i="29"/>
  <c r="E397" i="29"/>
  <c r="D397" i="29"/>
  <c r="P441" i="31"/>
  <c r="O441" i="31"/>
  <c r="N441" i="31"/>
  <c r="M441" i="31"/>
  <c r="L441" i="31"/>
  <c r="K441" i="31"/>
  <c r="J441" i="31"/>
  <c r="I441" i="31"/>
  <c r="H441" i="31"/>
  <c r="G441" i="31"/>
  <c r="F441" i="31"/>
  <c r="E441" i="31"/>
  <c r="D441" i="31"/>
  <c r="P352" i="29"/>
  <c r="O352" i="29"/>
  <c r="N352" i="29"/>
  <c r="M352" i="29"/>
  <c r="L352" i="29"/>
  <c r="K352" i="29"/>
  <c r="I352" i="29"/>
  <c r="H352" i="29"/>
  <c r="G352" i="29"/>
  <c r="F352" i="29"/>
  <c r="E352" i="29"/>
  <c r="D352" i="29"/>
  <c r="P445" i="29"/>
  <c r="O445" i="29"/>
  <c r="N445" i="29"/>
  <c r="M445" i="29"/>
  <c r="L445" i="29"/>
  <c r="K445" i="29"/>
  <c r="I445" i="29"/>
  <c r="H445" i="29"/>
  <c r="G445" i="29"/>
  <c r="F445" i="29"/>
  <c r="E445" i="29"/>
  <c r="D445" i="29"/>
  <c r="P328" i="29"/>
  <c r="O328" i="29"/>
  <c r="N328" i="29"/>
  <c r="M328" i="29"/>
  <c r="L328" i="29"/>
  <c r="K328" i="29"/>
  <c r="I328" i="29"/>
  <c r="H328" i="29"/>
  <c r="G328" i="29"/>
  <c r="F328" i="29"/>
  <c r="E328" i="29"/>
  <c r="D328" i="29"/>
  <c r="P510" i="31"/>
  <c r="O510" i="31"/>
  <c r="N510" i="31"/>
  <c r="M510" i="31"/>
  <c r="L510" i="31"/>
  <c r="K510" i="31"/>
  <c r="I510" i="31"/>
  <c r="H510" i="31"/>
  <c r="G510" i="31"/>
  <c r="F510" i="31"/>
  <c r="E510" i="31"/>
  <c r="D510" i="31"/>
  <c r="P302" i="29"/>
  <c r="O302" i="29"/>
  <c r="N302" i="29"/>
  <c r="M302" i="29"/>
  <c r="L302" i="29"/>
  <c r="K302" i="29"/>
  <c r="I302" i="29"/>
  <c r="G302" i="29"/>
  <c r="F302" i="29"/>
  <c r="E302" i="29"/>
  <c r="D302" i="29"/>
  <c r="P259" i="31"/>
  <c r="O259" i="31"/>
  <c r="N259" i="31"/>
  <c r="M259" i="31"/>
  <c r="L259" i="31"/>
  <c r="K259" i="31"/>
  <c r="I259" i="31"/>
  <c r="H259" i="31"/>
  <c r="G259" i="31"/>
  <c r="F259" i="31"/>
  <c r="E259" i="31"/>
  <c r="D259" i="31"/>
  <c r="P210" i="29"/>
  <c r="O210" i="29"/>
  <c r="N210" i="29"/>
  <c r="M210" i="29"/>
  <c r="L210" i="29"/>
  <c r="K210" i="29"/>
  <c r="I210" i="29"/>
  <c r="H210" i="29"/>
  <c r="G210" i="29"/>
  <c r="F210" i="29"/>
  <c r="E210" i="29"/>
  <c r="D210" i="29"/>
  <c r="P236" i="31"/>
  <c r="O236" i="31"/>
  <c r="N236" i="31"/>
  <c r="M236" i="31"/>
  <c r="L236" i="31"/>
  <c r="K236" i="31"/>
  <c r="J236" i="31"/>
  <c r="I236" i="31"/>
  <c r="H236" i="31"/>
  <c r="G236" i="31"/>
  <c r="F236" i="31"/>
  <c r="E236" i="31"/>
  <c r="D236" i="31"/>
  <c r="P136" i="29"/>
  <c r="O136" i="29"/>
  <c r="N136" i="29"/>
  <c r="M136" i="29"/>
  <c r="L136" i="29"/>
  <c r="K136" i="29"/>
  <c r="I136" i="29"/>
  <c r="H136" i="29"/>
  <c r="G136" i="29"/>
  <c r="F136" i="29"/>
  <c r="E136" i="29"/>
  <c r="D136" i="29"/>
  <c r="P281" i="31"/>
  <c r="O281" i="31"/>
  <c r="N281" i="31"/>
  <c r="M281" i="31"/>
  <c r="L281" i="31"/>
  <c r="K281" i="31"/>
  <c r="J281" i="31"/>
  <c r="I281" i="31"/>
  <c r="H281" i="31"/>
  <c r="G281" i="31"/>
  <c r="F281" i="31"/>
  <c r="E281" i="31"/>
  <c r="D281" i="31"/>
  <c r="P17" i="29"/>
  <c r="O17" i="29"/>
  <c r="N17" i="29"/>
  <c r="M17" i="29"/>
  <c r="L17" i="29"/>
  <c r="K17" i="29"/>
  <c r="I17" i="29"/>
  <c r="H17" i="29"/>
  <c r="G17" i="29"/>
  <c r="F17" i="29"/>
  <c r="E17" i="29"/>
  <c r="D17" i="29"/>
  <c r="O558" i="29"/>
  <c r="N558" i="29"/>
  <c r="M558" i="29"/>
  <c r="L558" i="29"/>
  <c r="K558" i="29"/>
  <c r="I558" i="29"/>
  <c r="H558" i="29"/>
  <c r="G558" i="29"/>
  <c r="F558" i="29"/>
  <c r="E558" i="29"/>
  <c r="D558" i="29"/>
  <c r="P538" i="29"/>
  <c r="O538" i="29"/>
  <c r="N538" i="29"/>
  <c r="M538" i="29"/>
  <c r="L538" i="29"/>
  <c r="K538" i="29"/>
  <c r="J538" i="29"/>
  <c r="I538" i="29"/>
  <c r="H538" i="29"/>
  <c r="G538" i="29"/>
  <c r="F538" i="29"/>
  <c r="E538" i="29"/>
  <c r="D538" i="29"/>
  <c r="P514" i="29"/>
  <c r="O514" i="29"/>
  <c r="N514" i="29"/>
  <c r="M514" i="29"/>
  <c r="L514" i="29"/>
  <c r="K514" i="29"/>
  <c r="J514" i="29"/>
  <c r="I514" i="29"/>
  <c r="H514" i="29"/>
  <c r="G514" i="29"/>
  <c r="F514" i="29"/>
  <c r="E514" i="29"/>
  <c r="D514" i="29"/>
  <c r="P491" i="29"/>
  <c r="O491" i="29"/>
  <c r="N491" i="29"/>
  <c r="M491" i="29"/>
  <c r="L491" i="29"/>
  <c r="K491" i="29"/>
  <c r="I491" i="29"/>
  <c r="H491" i="29"/>
  <c r="G491" i="29"/>
  <c r="F491" i="29"/>
  <c r="E491" i="29"/>
  <c r="D491" i="29"/>
  <c r="P465" i="31"/>
  <c r="O465" i="31"/>
  <c r="N465" i="31"/>
  <c r="M465" i="31"/>
  <c r="L465" i="31"/>
  <c r="K465" i="31"/>
  <c r="J465" i="31"/>
  <c r="I465" i="31"/>
  <c r="H465" i="31"/>
  <c r="G465" i="31"/>
  <c r="F465" i="31"/>
  <c r="E465" i="31"/>
  <c r="D465" i="31"/>
  <c r="O419" i="31"/>
  <c r="N419" i="31"/>
  <c r="M419" i="31"/>
  <c r="L419" i="31"/>
  <c r="K419" i="31"/>
  <c r="I419" i="31"/>
  <c r="H419" i="31"/>
  <c r="G419" i="31"/>
  <c r="F419" i="31"/>
  <c r="E419" i="31"/>
  <c r="D419" i="31"/>
  <c r="P421" i="29"/>
  <c r="O421" i="29"/>
  <c r="N421" i="29"/>
  <c r="M421" i="29"/>
  <c r="L421" i="29"/>
  <c r="K421" i="29"/>
  <c r="J421" i="29"/>
  <c r="J429" i="29" s="1"/>
  <c r="I421" i="29"/>
  <c r="H421" i="29"/>
  <c r="G421" i="29"/>
  <c r="F421" i="29"/>
  <c r="E421" i="29"/>
  <c r="D421" i="29"/>
  <c r="P374" i="31"/>
  <c r="O374" i="31"/>
  <c r="N374" i="31"/>
  <c r="M374" i="31"/>
  <c r="L374" i="31"/>
  <c r="K374" i="31"/>
  <c r="I374" i="31"/>
  <c r="H374" i="31"/>
  <c r="G374" i="31"/>
  <c r="F374" i="31"/>
  <c r="E374" i="31"/>
  <c r="D374" i="31"/>
  <c r="P278" i="29"/>
  <c r="O278" i="29"/>
  <c r="N278" i="29"/>
  <c r="M278" i="29"/>
  <c r="L278" i="29"/>
  <c r="K278" i="29"/>
  <c r="I278" i="29"/>
  <c r="H278" i="29"/>
  <c r="G278" i="29"/>
  <c r="F278" i="29"/>
  <c r="E278" i="29"/>
  <c r="D278" i="29"/>
  <c r="P305" i="31"/>
  <c r="O305" i="31"/>
  <c r="N305" i="31"/>
  <c r="M305" i="31"/>
  <c r="L305" i="31"/>
  <c r="K305" i="31"/>
  <c r="J305" i="31"/>
  <c r="I305" i="31"/>
  <c r="H305" i="31"/>
  <c r="G305" i="31"/>
  <c r="F305" i="31"/>
  <c r="E305" i="31"/>
  <c r="D305" i="31"/>
  <c r="H302" i="29"/>
  <c r="P234" i="29"/>
  <c r="O234" i="29"/>
  <c r="N234" i="29"/>
  <c r="M234" i="29"/>
  <c r="L234" i="29"/>
  <c r="K234" i="29"/>
  <c r="J234" i="29"/>
  <c r="I234" i="29"/>
  <c r="H234" i="29"/>
  <c r="G234" i="29"/>
  <c r="F234" i="29"/>
  <c r="E234" i="29"/>
  <c r="D234" i="29"/>
  <c r="P189" i="31"/>
  <c r="O189" i="31"/>
  <c r="N189" i="31"/>
  <c r="M189" i="31"/>
  <c r="L189" i="31"/>
  <c r="K189" i="31"/>
  <c r="J189" i="31"/>
  <c r="I189" i="31"/>
  <c r="H189" i="31"/>
  <c r="G189" i="31"/>
  <c r="F189" i="31"/>
  <c r="E189" i="31"/>
  <c r="D189" i="31"/>
  <c r="P163" i="29"/>
  <c r="O163" i="29"/>
  <c r="N163" i="29"/>
  <c r="M163" i="29"/>
  <c r="L163" i="29"/>
  <c r="K163" i="29"/>
  <c r="J163" i="29"/>
  <c r="I163" i="29"/>
  <c r="H163" i="29"/>
  <c r="G163" i="29"/>
  <c r="F163" i="29"/>
  <c r="E163" i="29"/>
  <c r="D163" i="29"/>
  <c r="J136" i="29"/>
  <c r="P112" i="29"/>
  <c r="O112" i="29"/>
  <c r="N112" i="29"/>
  <c r="M112" i="29"/>
  <c r="L112" i="29"/>
  <c r="K112" i="29"/>
  <c r="J112" i="29"/>
  <c r="I112" i="29"/>
  <c r="H112" i="29"/>
  <c r="G112" i="29"/>
  <c r="F112" i="29"/>
  <c r="E112" i="29"/>
  <c r="D112" i="29"/>
  <c r="O89" i="29"/>
  <c r="N89" i="29"/>
  <c r="M89" i="29"/>
  <c r="L89" i="29"/>
  <c r="K89" i="29"/>
  <c r="I89" i="29"/>
  <c r="H89" i="29"/>
  <c r="G89" i="29"/>
  <c r="F89" i="29"/>
  <c r="E89" i="29"/>
  <c r="D89" i="29"/>
  <c r="P42" i="29"/>
  <c r="O42" i="29"/>
  <c r="N42" i="29"/>
  <c r="M42" i="29"/>
  <c r="L42" i="29"/>
  <c r="K42" i="29"/>
  <c r="I42" i="29"/>
  <c r="H42" i="29"/>
  <c r="G42" i="29"/>
  <c r="F42" i="29"/>
  <c r="E42" i="29"/>
  <c r="D42" i="29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N126" i="31" l="1"/>
  <c r="N128" i="31" s="1"/>
  <c r="L126" i="31"/>
  <c r="L128" i="31" s="1"/>
  <c r="J126" i="31"/>
  <c r="J128" i="31" s="1"/>
  <c r="I126" i="31"/>
  <c r="I128" i="31" s="1"/>
  <c r="H126" i="31"/>
  <c r="H128" i="31" s="1"/>
  <c r="G126" i="31"/>
  <c r="G128" i="31" s="1"/>
  <c r="F126" i="31"/>
  <c r="F128" i="31" s="1"/>
  <c r="E126" i="31"/>
  <c r="E128" i="31" s="1"/>
  <c r="D126" i="31"/>
  <c r="D128" i="31" s="1"/>
  <c r="G553" i="29" l="1"/>
  <c r="F553" i="29"/>
  <c r="P533" i="29"/>
  <c r="O533" i="29"/>
  <c r="N533" i="29"/>
  <c r="M533" i="29"/>
  <c r="L533" i="29"/>
  <c r="K533" i="29"/>
  <c r="I533" i="29"/>
  <c r="H533" i="29"/>
  <c r="G533" i="29"/>
  <c r="F533" i="29"/>
  <c r="E533" i="29"/>
  <c r="D533" i="29"/>
  <c r="P511" i="29"/>
  <c r="P512" i="29" s="1"/>
  <c r="O511" i="29"/>
  <c r="O512" i="29" s="1"/>
  <c r="N511" i="29"/>
  <c r="N512" i="29" s="1"/>
  <c r="M511" i="29"/>
  <c r="M512" i="29" s="1"/>
  <c r="L511" i="29"/>
  <c r="L512" i="29" s="1"/>
  <c r="K511" i="29"/>
  <c r="K512" i="29" s="1"/>
  <c r="I511" i="29"/>
  <c r="I512" i="29" s="1"/>
  <c r="H511" i="29"/>
  <c r="H512" i="29" s="1"/>
  <c r="G511" i="29"/>
  <c r="F511" i="29"/>
  <c r="E511" i="29"/>
  <c r="D511" i="29"/>
  <c r="G508" i="29"/>
  <c r="G512" i="29" s="1"/>
  <c r="F508" i="29"/>
  <c r="F512" i="29" s="1"/>
  <c r="E508" i="29"/>
  <c r="E512" i="29" s="1"/>
  <c r="D508" i="29"/>
  <c r="D512" i="29" s="1"/>
  <c r="F472" i="29"/>
  <c r="E472" i="29"/>
  <c r="G440" i="29"/>
  <c r="F440" i="29"/>
  <c r="O267" i="29" l="1"/>
  <c r="O268" i="29" s="1"/>
  <c r="N267" i="29"/>
  <c r="M267" i="29"/>
  <c r="M268" i="29" s="1"/>
  <c r="L267" i="29"/>
  <c r="L268" i="29" s="1"/>
  <c r="K267" i="29"/>
  <c r="J267" i="29"/>
  <c r="J268" i="29" s="1"/>
  <c r="I267" i="29"/>
  <c r="I268" i="29" s="1"/>
  <c r="H267" i="29"/>
  <c r="H268" i="29" s="1"/>
  <c r="G227" i="29"/>
  <c r="F227" i="29"/>
  <c r="E227" i="29"/>
  <c r="D227" i="29"/>
  <c r="G181" i="29"/>
  <c r="F181" i="29"/>
  <c r="G107" i="29"/>
  <c r="F107" i="29"/>
  <c r="G57" i="29"/>
  <c r="F57" i="29"/>
  <c r="G35" i="29"/>
  <c r="F35" i="29"/>
  <c r="E35" i="29"/>
  <c r="D35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N465" i="29" l="1"/>
  <c r="L465" i="29"/>
  <c r="J465" i="29"/>
  <c r="I465" i="29"/>
  <c r="H465" i="29"/>
  <c r="G465" i="29"/>
  <c r="G468" i="29" s="1"/>
  <c r="F465" i="29"/>
  <c r="F468" i="29" s="1"/>
  <c r="E465" i="29"/>
  <c r="E468" i="29" s="1"/>
  <c r="D465" i="29"/>
  <c r="D468" i="29" s="1"/>
  <c r="P441" i="29"/>
  <c r="O441" i="29"/>
  <c r="N441" i="29"/>
  <c r="M441" i="29"/>
  <c r="L441" i="29"/>
  <c r="K441" i="29"/>
  <c r="I441" i="29"/>
  <c r="H441" i="29"/>
  <c r="G441" i="29"/>
  <c r="F441" i="29"/>
  <c r="E441" i="29"/>
  <c r="D441" i="29"/>
  <c r="P13" i="29"/>
  <c r="P15" i="29" s="1"/>
  <c r="O13" i="29"/>
  <c r="N13" i="29"/>
  <c r="M13" i="29"/>
  <c r="M15" i="29" s="1"/>
  <c r="L13" i="29"/>
  <c r="K13" i="29"/>
  <c r="K15" i="29" s="1"/>
  <c r="H13" i="29"/>
  <c r="G13" i="29"/>
  <c r="F13" i="29"/>
  <c r="E13" i="29"/>
  <c r="D13" i="29"/>
  <c r="P108" i="29"/>
  <c r="O108" i="29"/>
  <c r="N108" i="29"/>
  <c r="M108" i="29"/>
  <c r="L108" i="29"/>
  <c r="K108" i="29"/>
  <c r="I108" i="29"/>
  <c r="H108" i="29"/>
  <c r="G108" i="29"/>
  <c r="F108" i="29"/>
  <c r="E108" i="29"/>
  <c r="D108" i="29"/>
  <c r="P487" i="29"/>
  <c r="O487" i="29"/>
  <c r="N487" i="29"/>
  <c r="M487" i="29"/>
  <c r="L487" i="29"/>
  <c r="K487" i="29"/>
  <c r="I487" i="29"/>
  <c r="H487" i="29"/>
  <c r="G487" i="29"/>
  <c r="F487" i="29"/>
  <c r="E487" i="29"/>
  <c r="D487" i="29"/>
  <c r="P392" i="29"/>
  <c r="P395" i="29" s="1"/>
  <c r="O392" i="29"/>
  <c r="O395" i="29" s="1"/>
  <c r="N392" i="29"/>
  <c r="N395" i="29" s="1"/>
  <c r="M392" i="29"/>
  <c r="M395" i="29" s="1"/>
  <c r="L392" i="29"/>
  <c r="L395" i="29" s="1"/>
  <c r="K392" i="29"/>
  <c r="K395" i="29" s="1"/>
  <c r="I392" i="29"/>
  <c r="I395" i="29" s="1"/>
  <c r="H392" i="29"/>
  <c r="H395" i="29" s="1"/>
  <c r="G392" i="29"/>
  <c r="F392" i="29"/>
  <c r="E392" i="29"/>
  <c r="E395" i="29" s="1"/>
  <c r="D392" i="29"/>
  <c r="P348" i="29"/>
  <c r="P350" i="29" s="1"/>
  <c r="O348" i="29"/>
  <c r="N348" i="29"/>
  <c r="M348" i="29"/>
  <c r="L348" i="29"/>
  <c r="K348" i="29"/>
  <c r="I348" i="29"/>
  <c r="H348" i="29"/>
  <c r="G348" i="29"/>
  <c r="F348" i="29"/>
  <c r="E348" i="29"/>
  <c r="D348" i="29"/>
  <c r="P323" i="29"/>
  <c r="O323" i="29"/>
  <c r="N323" i="29"/>
  <c r="M323" i="29"/>
  <c r="L323" i="29"/>
  <c r="K323" i="29"/>
  <c r="I323" i="29"/>
  <c r="H323" i="29"/>
  <c r="G323" i="29"/>
  <c r="F323" i="29"/>
  <c r="E323" i="29"/>
  <c r="D323" i="29"/>
  <c r="P251" i="29"/>
  <c r="P254" i="29" s="1"/>
  <c r="O251" i="29"/>
  <c r="O254" i="29" s="1"/>
  <c r="N251" i="29"/>
  <c r="N254" i="29" s="1"/>
  <c r="M251" i="29"/>
  <c r="M254" i="29" s="1"/>
  <c r="L251" i="29"/>
  <c r="L254" i="29" s="1"/>
  <c r="K251" i="29"/>
  <c r="K254" i="29" s="1"/>
  <c r="I251" i="29"/>
  <c r="I254" i="29" s="1"/>
  <c r="H251" i="29"/>
  <c r="H254" i="29" s="1"/>
  <c r="G251" i="29"/>
  <c r="F251" i="29"/>
  <c r="E251" i="29"/>
  <c r="D251" i="29"/>
  <c r="P229" i="29"/>
  <c r="P232" i="29" s="1"/>
  <c r="O229" i="29"/>
  <c r="O232" i="29" s="1"/>
  <c r="N229" i="29"/>
  <c r="N232" i="29" s="1"/>
  <c r="M229" i="29"/>
  <c r="M232" i="29" s="1"/>
  <c r="L229" i="29"/>
  <c r="L232" i="29" s="1"/>
  <c r="K229" i="29"/>
  <c r="K232" i="29" s="1"/>
  <c r="I229" i="29"/>
  <c r="I232" i="29" s="1"/>
  <c r="H229" i="29"/>
  <c r="H232" i="29" s="1"/>
  <c r="G229" i="29"/>
  <c r="F229" i="29"/>
  <c r="E229" i="29"/>
  <c r="D229" i="29"/>
  <c r="P205" i="29"/>
  <c r="P208" i="29" s="1"/>
  <c r="O205" i="29"/>
  <c r="O208" i="29" s="1"/>
  <c r="N205" i="29"/>
  <c r="N208" i="29" s="1"/>
  <c r="M205" i="29"/>
  <c r="M208" i="29" s="1"/>
  <c r="L205" i="29"/>
  <c r="L208" i="29" s="1"/>
  <c r="K205" i="29"/>
  <c r="K208" i="29" s="1"/>
  <c r="I205" i="29"/>
  <c r="I208" i="29" s="1"/>
  <c r="H205" i="29"/>
  <c r="H208" i="29" s="1"/>
  <c r="G205" i="29"/>
  <c r="F205" i="29"/>
  <c r="E205" i="29"/>
  <c r="D205" i="29"/>
  <c r="P184" i="29"/>
  <c r="P186" i="29" s="1"/>
  <c r="O184" i="29"/>
  <c r="N184" i="29"/>
  <c r="M184" i="29"/>
  <c r="L184" i="29"/>
  <c r="K184" i="29"/>
  <c r="I184" i="29"/>
  <c r="H184" i="29"/>
  <c r="G184" i="29"/>
  <c r="F184" i="29"/>
  <c r="E184" i="29"/>
  <c r="D184" i="29"/>
  <c r="P151" i="29"/>
  <c r="P130" i="29"/>
  <c r="O130" i="29"/>
  <c r="N130" i="29"/>
  <c r="M130" i="29"/>
  <c r="L130" i="29"/>
  <c r="K130" i="29"/>
  <c r="I130" i="29"/>
  <c r="H130" i="29"/>
  <c r="G130" i="29"/>
  <c r="F130" i="29"/>
  <c r="E130" i="29"/>
  <c r="D130" i="29"/>
  <c r="P84" i="29"/>
  <c r="P87" i="29" s="1"/>
  <c r="O84" i="29"/>
  <c r="N84" i="29"/>
  <c r="M84" i="29"/>
  <c r="L84" i="29"/>
  <c r="K84" i="29"/>
  <c r="I84" i="29"/>
  <c r="H84" i="29"/>
  <c r="G84" i="29"/>
  <c r="F84" i="29"/>
  <c r="E84" i="29"/>
  <c r="D84" i="29"/>
  <c r="P77" i="29"/>
  <c r="P78" i="29" s="1"/>
  <c r="O77" i="29"/>
  <c r="O78" i="29" s="1"/>
  <c r="N77" i="29"/>
  <c r="N78" i="29" s="1"/>
  <c r="M77" i="29"/>
  <c r="M78" i="29" s="1"/>
  <c r="L77" i="29"/>
  <c r="L78" i="29" s="1"/>
  <c r="K77" i="29"/>
  <c r="K78" i="29" s="1"/>
  <c r="I77" i="29"/>
  <c r="I78" i="29" s="1"/>
  <c r="H77" i="29"/>
  <c r="H78" i="29" s="1"/>
  <c r="G77" i="29"/>
  <c r="F77" i="29"/>
  <c r="E77" i="29"/>
  <c r="D77" i="29"/>
  <c r="P37" i="29"/>
  <c r="P40" i="29" s="1"/>
  <c r="O37" i="29"/>
  <c r="N37" i="29"/>
  <c r="M37" i="29"/>
  <c r="L37" i="29"/>
  <c r="K37" i="29"/>
  <c r="I37" i="29"/>
  <c r="H37" i="29"/>
  <c r="G37" i="29"/>
  <c r="F37" i="29"/>
  <c r="E37" i="29"/>
  <c r="D37" i="29"/>
  <c r="P554" i="29"/>
  <c r="O554" i="29"/>
  <c r="N554" i="29"/>
  <c r="M554" i="29"/>
  <c r="L554" i="29"/>
  <c r="K554" i="29"/>
  <c r="I554" i="29"/>
  <c r="H554" i="29"/>
  <c r="G554" i="29"/>
  <c r="F554" i="29"/>
  <c r="E554" i="29"/>
  <c r="D554" i="29"/>
  <c r="P564" i="31"/>
  <c r="O564" i="31"/>
  <c r="N564" i="31"/>
  <c r="M564" i="31"/>
  <c r="L564" i="31"/>
  <c r="K564" i="31"/>
  <c r="I564" i="31"/>
  <c r="H564" i="31"/>
  <c r="G564" i="31"/>
  <c r="F564" i="31"/>
  <c r="E564" i="31"/>
  <c r="D564" i="31"/>
  <c r="P563" i="31"/>
  <c r="O563" i="31"/>
  <c r="N563" i="31"/>
  <c r="M563" i="31"/>
  <c r="L563" i="31"/>
  <c r="K563" i="31"/>
  <c r="I563" i="31"/>
  <c r="H563" i="31"/>
  <c r="G563" i="31"/>
  <c r="F563" i="31"/>
  <c r="E563" i="31"/>
  <c r="D563" i="31"/>
  <c r="P542" i="31"/>
  <c r="O542" i="31"/>
  <c r="N542" i="31"/>
  <c r="M542" i="31"/>
  <c r="L542" i="31"/>
  <c r="K542" i="31"/>
  <c r="I542" i="31"/>
  <c r="H542" i="31"/>
  <c r="G542" i="31"/>
  <c r="F542" i="31"/>
  <c r="E542" i="31"/>
  <c r="D542" i="31"/>
  <c r="P541" i="31"/>
  <c r="O541" i="31"/>
  <c r="N541" i="31"/>
  <c r="M541" i="31"/>
  <c r="L541" i="31"/>
  <c r="K541" i="31"/>
  <c r="I541" i="31"/>
  <c r="H541" i="31"/>
  <c r="G541" i="31"/>
  <c r="F541" i="31"/>
  <c r="E541" i="31"/>
  <c r="D541" i="31"/>
  <c r="P517" i="31"/>
  <c r="O517" i="31"/>
  <c r="N517" i="31"/>
  <c r="M517" i="31"/>
  <c r="L517" i="31"/>
  <c r="K517" i="31"/>
  <c r="I517" i="31"/>
  <c r="H517" i="31"/>
  <c r="G517" i="31"/>
  <c r="F517" i="31"/>
  <c r="E517" i="31"/>
  <c r="D517" i="31"/>
  <c r="P516" i="31"/>
  <c r="O516" i="31"/>
  <c r="N516" i="31"/>
  <c r="M516" i="31"/>
  <c r="L516" i="31"/>
  <c r="K516" i="31"/>
  <c r="I516" i="31"/>
  <c r="H516" i="31"/>
  <c r="G516" i="31"/>
  <c r="F516" i="31"/>
  <c r="E516" i="31"/>
  <c r="D516" i="31"/>
  <c r="P494" i="31"/>
  <c r="O494" i="31"/>
  <c r="N494" i="31"/>
  <c r="M494" i="31"/>
  <c r="L494" i="31"/>
  <c r="K494" i="31"/>
  <c r="I494" i="31"/>
  <c r="H494" i="31"/>
  <c r="G494" i="31"/>
  <c r="F494" i="31"/>
  <c r="E494" i="31"/>
  <c r="D494" i="31"/>
  <c r="P493" i="31"/>
  <c r="O493" i="31"/>
  <c r="N493" i="31"/>
  <c r="M493" i="31"/>
  <c r="L493" i="31"/>
  <c r="K493" i="31"/>
  <c r="I493" i="31"/>
  <c r="H493" i="31"/>
  <c r="G493" i="31"/>
  <c r="F493" i="31"/>
  <c r="E493" i="31"/>
  <c r="D493" i="31"/>
  <c r="P470" i="31"/>
  <c r="O470" i="31"/>
  <c r="N470" i="31"/>
  <c r="M470" i="31"/>
  <c r="L470" i="31"/>
  <c r="K470" i="31"/>
  <c r="I470" i="31"/>
  <c r="H470" i="31"/>
  <c r="G470" i="31"/>
  <c r="F470" i="31"/>
  <c r="E470" i="31"/>
  <c r="D470" i="31"/>
  <c r="P448" i="31"/>
  <c r="O448" i="31"/>
  <c r="N448" i="31"/>
  <c r="M448" i="31"/>
  <c r="L448" i="31"/>
  <c r="K448" i="31"/>
  <c r="I448" i="31"/>
  <c r="H448" i="31"/>
  <c r="G448" i="31"/>
  <c r="F448" i="31"/>
  <c r="E448" i="31"/>
  <c r="D448" i="31"/>
  <c r="P447" i="31"/>
  <c r="O447" i="31"/>
  <c r="N447" i="31"/>
  <c r="M447" i="31"/>
  <c r="L447" i="31"/>
  <c r="K447" i="31"/>
  <c r="I447" i="31"/>
  <c r="H447" i="31"/>
  <c r="G447" i="31"/>
  <c r="F447" i="31"/>
  <c r="E447" i="31"/>
  <c r="D447" i="31"/>
  <c r="P424" i="31"/>
  <c r="O424" i="31"/>
  <c r="N424" i="31"/>
  <c r="M424" i="31"/>
  <c r="L424" i="31"/>
  <c r="K424" i="31"/>
  <c r="I424" i="31"/>
  <c r="H424" i="31"/>
  <c r="G424" i="31"/>
  <c r="F424" i="31"/>
  <c r="E424" i="31"/>
  <c r="D424" i="31"/>
  <c r="P423" i="31"/>
  <c r="P425" i="31" s="1"/>
  <c r="O423" i="31"/>
  <c r="N423" i="31"/>
  <c r="M423" i="31"/>
  <c r="L423" i="31"/>
  <c r="K423" i="31"/>
  <c r="I423" i="31"/>
  <c r="H423" i="31"/>
  <c r="G423" i="31"/>
  <c r="F423" i="31"/>
  <c r="E423" i="31"/>
  <c r="D423" i="31"/>
  <c r="P401" i="31"/>
  <c r="O401" i="31"/>
  <c r="N401" i="31"/>
  <c r="M401" i="31"/>
  <c r="L401" i="31"/>
  <c r="K401" i="31"/>
  <c r="I401" i="31"/>
  <c r="H401" i="31"/>
  <c r="G401" i="31"/>
  <c r="F401" i="31"/>
  <c r="E401" i="31"/>
  <c r="D401" i="31"/>
  <c r="P379" i="31"/>
  <c r="O379" i="31"/>
  <c r="N379" i="31"/>
  <c r="M379" i="31"/>
  <c r="L379" i="31"/>
  <c r="K379" i="31"/>
  <c r="I379" i="31"/>
  <c r="H379" i="31"/>
  <c r="G379" i="31"/>
  <c r="F379" i="31"/>
  <c r="E379" i="31"/>
  <c r="D379" i="31"/>
  <c r="P378" i="31"/>
  <c r="O378" i="31"/>
  <c r="N378" i="31"/>
  <c r="M378" i="31"/>
  <c r="L378" i="31"/>
  <c r="K378" i="31"/>
  <c r="I378" i="31"/>
  <c r="H378" i="31"/>
  <c r="G378" i="31"/>
  <c r="F378" i="31"/>
  <c r="E378" i="31"/>
  <c r="D378" i="31"/>
  <c r="P358" i="31"/>
  <c r="O358" i="31"/>
  <c r="N358" i="31"/>
  <c r="M358" i="31"/>
  <c r="L358" i="31"/>
  <c r="K358" i="31"/>
  <c r="I358" i="31"/>
  <c r="H358" i="31"/>
  <c r="G358" i="31"/>
  <c r="F358" i="31"/>
  <c r="E358" i="31"/>
  <c r="D358" i="31"/>
  <c r="P357" i="31"/>
  <c r="O357" i="31"/>
  <c r="N357" i="31"/>
  <c r="M357" i="31"/>
  <c r="L357" i="31"/>
  <c r="K357" i="31"/>
  <c r="I357" i="31"/>
  <c r="H357" i="31"/>
  <c r="G357" i="31"/>
  <c r="F357" i="31"/>
  <c r="E357" i="31"/>
  <c r="D357" i="31"/>
  <c r="P334" i="31"/>
  <c r="O334" i="31"/>
  <c r="N334" i="31"/>
  <c r="M334" i="31"/>
  <c r="L334" i="31"/>
  <c r="K334" i="31"/>
  <c r="I334" i="31"/>
  <c r="H334" i="31"/>
  <c r="G334" i="31"/>
  <c r="F334" i="31"/>
  <c r="E334" i="31"/>
  <c r="D334" i="31"/>
  <c r="P333" i="31"/>
  <c r="O333" i="31"/>
  <c r="N333" i="31"/>
  <c r="M333" i="31"/>
  <c r="L333" i="31"/>
  <c r="K333" i="31"/>
  <c r="I333" i="31"/>
  <c r="H333" i="31"/>
  <c r="G333" i="31"/>
  <c r="F333" i="31"/>
  <c r="E333" i="31"/>
  <c r="D333" i="31"/>
  <c r="P311" i="31"/>
  <c r="O311" i="31"/>
  <c r="N311" i="31"/>
  <c r="M311" i="31"/>
  <c r="L311" i="31"/>
  <c r="K311" i="31"/>
  <c r="I311" i="31"/>
  <c r="H311" i="31"/>
  <c r="G311" i="31"/>
  <c r="F311" i="31"/>
  <c r="E311" i="31"/>
  <c r="D311" i="31"/>
  <c r="P310" i="31"/>
  <c r="P312" i="31" s="1"/>
  <c r="O310" i="31"/>
  <c r="N310" i="31"/>
  <c r="M310" i="31"/>
  <c r="L310" i="31"/>
  <c r="K310" i="31"/>
  <c r="I310" i="31"/>
  <c r="H310" i="31"/>
  <c r="G310" i="31"/>
  <c r="F310" i="31"/>
  <c r="E310" i="31"/>
  <c r="D310" i="31"/>
  <c r="P288" i="31"/>
  <c r="O288" i="31"/>
  <c r="N288" i="31"/>
  <c r="M288" i="31"/>
  <c r="L288" i="31"/>
  <c r="K288" i="31"/>
  <c r="I288" i="31"/>
  <c r="H288" i="31"/>
  <c r="G288" i="31"/>
  <c r="F288" i="31"/>
  <c r="E288" i="31"/>
  <c r="D288" i="31"/>
  <c r="P287" i="31"/>
  <c r="O287" i="31"/>
  <c r="N287" i="31"/>
  <c r="M287" i="31"/>
  <c r="L287" i="31"/>
  <c r="K287" i="31"/>
  <c r="K289" i="31" s="1"/>
  <c r="I287" i="31"/>
  <c r="H287" i="31"/>
  <c r="G287" i="31"/>
  <c r="F287" i="31"/>
  <c r="E287" i="31"/>
  <c r="D287" i="31"/>
  <c r="P266" i="31"/>
  <c r="O266" i="31"/>
  <c r="N266" i="31"/>
  <c r="M266" i="31"/>
  <c r="L266" i="31"/>
  <c r="K266" i="31"/>
  <c r="I266" i="31"/>
  <c r="H266" i="31"/>
  <c r="G266" i="31"/>
  <c r="F266" i="31"/>
  <c r="E266" i="31"/>
  <c r="D266" i="31"/>
  <c r="P265" i="31"/>
  <c r="P267" i="31" s="1"/>
  <c r="O265" i="31"/>
  <c r="O267" i="31" s="1"/>
  <c r="N265" i="31"/>
  <c r="N267" i="31" s="1"/>
  <c r="M265" i="31"/>
  <c r="M267" i="31" s="1"/>
  <c r="L265" i="31"/>
  <c r="L267" i="31" s="1"/>
  <c r="K265" i="31"/>
  <c r="K267" i="31" s="1"/>
  <c r="I265" i="31"/>
  <c r="I267" i="31" s="1"/>
  <c r="H265" i="31"/>
  <c r="H267" i="31" s="1"/>
  <c r="G265" i="31"/>
  <c r="G267" i="31" s="1"/>
  <c r="F265" i="31"/>
  <c r="F267" i="31" s="1"/>
  <c r="E265" i="31"/>
  <c r="E267" i="31" s="1"/>
  <c r="D265" i="31"/>
  <c r="D267" i="31" s="1"/>
  <c r="P242" i="31"/>
  <c r="O242" i="31"/>
  <c r="N242" i="31"/>
  <c r="M242" i="31"/>
  <c r="L242" i="31"/>
  <c r="K242" i="31"/>
  <c r="I242" i="31"/>
  <c r="H242" i="31"/>
  <c r="G242" i="31"/>
  <c r="F242" i="31"/>
  <c r="E242" i="31"/>
  <c r="D242" i="31"/>
  <c r="P218" i="31"/>
  <c r="O218" i="31"/>
  <c r="N218" i="31"/>
  <c r="M218" i="31"/>
  <c r="L218" i="31"/>
  <c r="K218" i="31"/>
  <c r="I218" i="31"/>
  <c r="H218" i="31"/>
  <c r="G218" i="31"/>
  <c r="F218" i="31"/>
  <c r="E218" i="31"/>
  <c r="D218" i="31"/>
  <c r="P217" i="31"/>
  <c r="P219" i="31" s="1"/>
  <c r="O217" i="31"/>
  <c r="N217" i="31"/>
  <c r="M217" i="31"/>
  <c r="L217" i="31"/>
  <c r="K217" i="31"/>
  <c r="I217" i="31"/>
  <c r="H217" i="31"/>
  <c r="G217" i="31"/>
  <c r="F217" i="31"/>
  <c r="E217" i="31"/>
  <c r="D217" i="31"/>
  <c r="P195" i="31"/>
  <c r="P197" i="31" s="1"/>
  <c r="O195" i="31"/>
  <c r="N195" i="31"/>
  <c r="M195" i="31"/>
  <c r="L195" i="31"/>
  <c r="K195" i="31"/>
  <c r="I195" i="31"/>
  <c r="H195" i="31"/>
  <c r="G195" i="31"/>
  <c r="F195" i="31"/>
  <c r="E195" i="31"/>
  <c r="D195" i="31"/>
  <c r="P171" i="31"/>
  <c r="O171" i="31"/>
  <c r="N171" i="31"/>
  <c r="M171" i="31"/>
  <c r="L171" i="31"/>
  <c r="K171" i="31"/>
  <c r="I171" i="31"/>
  <c r="H171" i="31"/>
  <c r="G171" i="31"/>
  <c r="F171" i="31"/>
  <c r="E171" i="31"/>
  <c r="D171" i="31"/>
  <c r="P170" i="31"/>
  <c r="O170" i="31"/>
  <c r="N170" i="31"/>
  <c r="M170" i="31"/>
  <c r="L170" i="31"/>
  <c r="K170" i="31"/>
  <c r="I170" i="31"/>
  <c r="H170" i="31"/>
  <c r="G170" i="31"/>
  <c r="F170" i="31"/>
  <c r="E170" i="31"/>
  <c r="D170" i="31"/>
  <c r="P147" i="31"/>
  <c r="O147" i="31"/>
  <c r="N147" i="31"/>
  <c r="M147" i="31"/>
  <c r="L147" i="31"/>
  <c r="K147" i="31"/>
  <c r="I147" i="31"/>
  <c r="H147" i="31"/>
  <c r="G147" i="31"/>
  <c r="F147" i="31"/>
  <c r="E147" i="31"/>
  <c r="D147" i="31"/>
  <c r="P146" i="31"/>
  <c r="O146" i="31"/>
  <c r="N146" i="31"/>
  <c r="M146" i="31"/>
  <c r="L146" i="31"/>
  <c r="K146" i="31"/>
  <c r="I146" i="31"/>
  <c r="H146" i="31"/>
  <c r="G146" i="31"/>
  <c r="F146" i="31"/>
  <c r="E146" i="31"/>
  <c r="D146" i="31"/>
  <c r="P123" i="31"/>
  <c r="O123" i="31"/>
  <c r="N123" i="31"/>
  <c r="M123" i="31"/>
  <c r="L123" i="31"/>
  <c r="K123" i="31"/>
  <c r="I123" i="31"/>
  <c r="H123" i="31"/>
  <c r="G123" i="31"/>
  <c r="F123" i="31"/>
  <c r="E123" i="31"/>
  <c r="D123" i="31"/>
  <c r="P122" i="31"/>
  <c r="O122" i="31"/>
  <c r="N122" i="31"/>
  <c r="M122" i="31"/>
  <c r="L122" i="31"/>
  <c r="K122" i="31"/>
  <c r="I122" i="31"/>
  <c r="H122" i="31"/>
  <c r="G122" i="31"/>
  <c r="F122" i="31"/>
  <c r="E122" i="31"/>
  <c r="D122" i="31"/>
  <c r="P99" i="31"/>
  <c r="O99" i="31"/>
  <c r="N99" i="31"/>
  <c r="M99" i="31"/>
  <c r="L99" i="31"/>
  <c r="K99" i="31"/>
  <c r="I99" i="31"/>
  <c r="H99" i="31"/>
  <c r="G99" i="31"/>
  <c r="F99" i="31"/>
  <c r="E99" i="31"/>
  <c r="D99" i="31"/>
  <c r="P98" i="31"/>
  <c r="O98" i="31"/>
  <c r="N98" i="31"/>
  <c r="M98" i="31"/>
  <c r="L98" i="31"/>
  <c r="K98" i="31"/>
  <c r="I98" i="31"/>
  <c r="H98" i="31"/>
  <c r="G98" i="31"/>
  <c r="F98" i="31"/>
  <c r="E98" i="31"/>
  <c r="D98" i="31"/>
  <c r="P73" i="31"/>
  <c r="O73" i="31"/>
  <c r="N73" i="31"/>
  <c r="M73" i="31"/>
  <c r="L73" i="31"/>
  <c r="K73" i="31"/>
  <c r="I73" i="31"/>
  <c r="H73" i="31"/>
  <c r="G73" i="31"/>
  <c r="F73" i="31"/>
  <c r="E73" i="31"/>
  <c r="D73" i="31"/>
  <c r="P72" i="31"/>
  <c r="O72" i="31"/>
  <c r="N72" i="31"/>
  <c r="M72" i="31"/>
  <c r="L72" i="31"/>
  <c r="K72" i="31"/>
  <c r="I72" i="31"/>
  <c r="H72" i="31"/>
  <c r="G72" i="31"/>
  <c r="F72" i="31"/>
  <c r="E72" i="31"/>
  <c r="D72" i="31"/>
  <c r="P50" i="31"/>
  <c r="O50" i="31"/>
  <c r="N50" i="31"/>
  <c r="M50" i="31"/>
  <c r="L50" i="31"/>
  <c r="K50" i="31"/>
  <c r="I50" i="31"/>
  <c r="H50" i="31"/>
  <c r="G50" i="31"/>
  <c r="F50" i="31"/>
  <c r="E50" i="31"/>
  <c r="D50" i="31"/>
  <c r="P24" i="31"/>
  <c r="O24" i="31"/>
  <c r="N24" i="31"/>
  <c r="M24" i="31"/>
  <c r="L24" i="31"/>
  <c r="K24" i="31"/>
  <c r="I24" i="31"/>
  <c r="H24" i="31"/>
  <c r="G24" i="31"/>
  <c r="F24" i="31"/>
  <c r="E24" i="31"/>
  <c r="D24" i="31"/>
  <c r="P23" i="31"/>
  <c r="O23" i="31"/>
  <c r="N23" i="31"/>
  <c r="M23" i="31"/>
  <c r="L23" i="31"/>
  <c r="K23" i="31"/>
  <c r="I23" i="31"/>
  <c r="H23" i="31"/>
  <c r="G23" i="31"/>
  <c r="F23" i="31"/>
  <c r="E23" i="31"/>
  <c r="D23" i="31"/>
  <c r="P564" i="29"/>
  <c r="O564" i="29"/>
  <c r="N564" i="29"/>
  <c r="M564" i="29"/>
  <c r="L564" i="29"/>
  <c r="K564" i="29"/>
  <c r="I564" i="29"/>
  <c r="H564" i="29"/>
  <c r="G564" i="29"/>
  <c r="F564" i="29"/>
  <c r="E564" i="29"/>
  <c r="D564" i="29"/>
  <c r="P563" i="29"/>
  <c r="P566" i="29" s="1"/>
  <c r="O563" i="29"/>
  <c r="N563" i="29"/>
  <c r="M563" i="29"/>
  <c r="L563" i="29"/>
  <c r="K563" i="29"/>
  <c r="I563" i="29"/>
  <c r="H563" i="29"/>
  <c r="G563" i="29"/>
  <c r="F563" i="29"/>
  <c r="E563" i="29"/>
  <c r="D563" i="29"/>
  <c r="P543" i="29"/>
  <c r="O543" i="29"/>
  <c r="N543" i="29"/>
  <c r="M543" i="29"/>
  <c r="L543" i="29"/>
  <c r="K543" i="29"/>
  <c r="I543" i="29"/>
  <c r="H543" i="29"/>
  <c r="G543" i="29"/>
  <c r="F543" i="29"/>
  <c r="E543" i="29"/>
  <c r="D543" i="29"/>
  <c r="P542" i="29"/>
  <c r="O542" i="29"/>
  <c r="N542" i="29"/>
  <c r="M542" i="29"/>
  <c r="L542" i="29"/>
  <c r="K542" i="29"/>
  <c r="I542" i="29"/>
  <c r="H542" i="29"/>
  <c r="G542" i="29"/>
  <c r="F542" i="29"/>
  <c r="E542" i="29"/>
  <c r="D542" i="29"/>
  <c r="P520" i="29"/>
  <c r="O520" i="29"/>
  <c r="N520" i="29"/>
  <c r="M520" i="29"/>
  <c r="L520" i="29"/>
  <c r="K520" i="29"/>
  <c r="I520" i="29"/>
  <c r="H520" i="29"/>
  <c r="G520" i="29"/>
  <c r="F520" i="29"/>
  <c r="E520" i="29"/>
  <c r="D520" i="29"/>
  <c r="P519" i="29"/>
  <c r="O519" i="29"/>
  <c r="N519" i="29"/>
  <c r="M519" i="29"/>
  <c r="L519" i="29"/>
  <c r="K519" i="29"/>
  <c r="I519" i="29"/>
  <c r="H519" i="29"/>
  <c r="G519" i="29"/>
  <c r="F519" i="29"/>
  <c r="E519" i="29"/>
  <c r="D519" i="29"/>
  <c r="P498" i="29"/>
  <c r="O498" i="29"/>
  <c r="N498" i="29"/>
  <c r="M498" i="29"/>
  <c r="L498" i="29"/>
  <c r="K498" i="29"/>
  <c r="I498" i="29"/>
  <c r="H498" i="29"/>
  <c r="G498" i="29"/>
  <c r="F498" i="29"/>
  <c r="E498" i="29"/>
  <c r="D498" i="29"/>
  <c r="P497" i="29"/>
  <c r="O497" i="29"/>
  <c r="N497" i="29"/>
  <c r="M497" i="29"/>
  <c r="L497" i="29"/>
  <c r="K497" i="29"/>
  <c r="I497" i="29"/>
  <c r="H497" i="29"/>
  <c r="G497" i="29"/>
  <c r="F497" i="29"/>
  <c r="E497" i="29"/>
  <c r="D497" i="29"/>
  <c r="P475" i="29"/>
  <c r="O475" i="29"/>
  <c r="N475" i="29"/>
  <c r="M475" i="29"/>
  <c r="L475" i="29"/>
  <c r="K475" i="29"/>
  <c r="I475" i="29"/>
  <c r="H475" i="29"/>
  <c r="G475" i="29"/>
  <c r="F475" i="29"/>
  <c r="E475" i="29"/>
  <c r="D475" i="29"/>
  <c r="P453" i="29"/>
  <c r="O453" i="29"/>
  <c r="N453" i="29"/>
  <c r="M453" i="29"/>
  <c r="L453" i="29"/>
  <c r="K453" i="29"/>
  <c r="I453" i="29"/>
  <c r="H453" i="29"/>
  <c r="G453" i="29"/>
  <c r="F453" i="29"/>
  <c r="E453" i="29"/>
  <c r="D453" i="29"/>
  <c r="P452" i="29"/>
  <c r="O452" i="29"/>
  <c r="N452" i="29"/>
  <c r="M452" i="29"/>
  <c r="L452" i="29"/>
  <c r="K452" i="29"/>
  <c r="I452" i="29"/>
  <c r="H452" i="29"/>
  <c r="G452" i="29"/>
  <c r="F452" i="29"/>
  <c r="E452" i="29"/>
  <c r="D452" i="29"/>
  <c r="P428" i="29"/>
  <c r="O428" i="29"/>
  <c r="N428" i="29"/>
  <c r="M428" i="29"/>
  <c r="L428" i="29"/>
  <c r="K428" i="29"/>
  <c r="I428" i="29"/>
  <c r="H428" i="29"/>
  <c r="G428" i="29"/>
  <c r="F428" i="29"/>
  <c r="E428" i="29"/>
  <c r="D428" i="29"/>
  <c r="P427" i="29"/>
  <c r="P429" i="29" s="1"/>
  <c r="O427" i="29"/>
  <c r="O429" i="29" s="1"/>
  <c r="N427" i="29"/>
  <c r="N429" i="29" s="1"/>
  <c r="M427" i="29"/>
  <c r="M429" i="29" s="1"/>
  <c r="L427" i="29"/>
  <c r="L429" i="29" s="1"/>
  <c r="K427" i="29"/>
  <c r="K429" i="29" s="1"/>
  <c r="I427" i="29"/>
  <c r="H427" i="29"/>
  <c r="H429" i="29" s="1"/>
  <c r="G427" i="29"/>
  <c r="F427" i="29"/>
  <c r="E427" i="29"/>
  <c r="D427" i="29"/>
  <c r="P403" i="29"/>
  <c r="O403" i="29"/>
  <c r="N403" i="29"/>
  <c r="M403" i="29"/>
  <c r="L403" i="29"/>
  <c r="K403" i="29"/>
  <c r="I403" i="29"/>
  <c r="H403" i="29"/>
  <c r="G403" i="29"/>
  <c r="F403" i="29"/>
  <c r="E403" i="29"/>
  <c r="D403" i="29"/>
  <c r="P381" i="29"/>
  <c r="O381" i="29"/>
  <c r="N381" i="29"/>
  <c r="M381" i="29"/>
  <c r="L381" i="29"/>
  <c r="K381" i="29"/>
  <c r="I381" i="29"/>
  <c r="H381" i="29"/>
  <c r="G381" i="29"/>
  <c r="F381" i="29"/>
  <c r="E381" i="29"/>
  <c r="D381" i="29"/>
  <c r="P380" i="29"/>
  <c r="O380" i="29"/>
  <c r="N380" i="29"/>
  <c r="M380" i="29"/>
  <c r="L380" i="29"/>
  <c r="K380" i="29"/>
  <c r="I380" i="29"/>
  <c r="H380" i="29"/>
  <c r="G380" i="29"/>
  <c r="F380" i="29"/>
  <c r="E380" i="29"/>
  <c r="D380" i="29"/>
  <c r="P358" i="29"/>
  <c r="O358" i="29"/>
  <c r="N358" i="29"/>
  <c r="M358" i="29"/>
  <c r="L358" i="29"/>
  <c r="K358" i="29"/>
  <c r="I358" i="29"/>
  <c r="H358" i="29"/>
  <c r="G358" i="29"/>
  <c r="F358" i="29"/>
  <c r="E358" i="29"/>
  <c r="D358" i="29"/>
  <c r="P357" i="29"/>
  <c r="O357" i="29"/>
  <c r="N357" i="29"/>
  <c r="M357" i="29"/>
  <c r="M360" i="29" s="1"/>
  <c r="L357" i="29"/>
  <c r="K357" i="29"/>
  <c r="K360" i="29" s="1"/>
  <c r="I357" i="29"/>
  <c r="H357" i="29"/>
  <c r="G357" i="29"/>
  <c r="F357" i="29"/>
  <c r="E357" i="29"/>
  <c r="D357" i="29"/>
  <c r="P334" i="29"/>
  <c r="O334" i="29"/>
  <c r="N334" i="29"/>
  <c r="M334" i="29"/>
  <c r="L334" i="29"/>
  <c r="K334" i="29"/>
  <c r="I334" i="29"/>
  <c r="H334" i="29"/>
  <c r="G334" i="29"/>
  <c r="F334" i="29"/>
  <c r="E334" i="29"/>
  <c r="D334" i="29"/>
  <c r="P333" i="29"/>
  <c r="O333" i="29"/>
  <c r="N333" i="29"/>
  <c r="M333" i="29"/>
  <c r="L333" i="29"/>
  <c r="K333" i="29"/>
  <c r="I333" i="29"/>
  <c r="H333" i="29"/>
  <c r="G333" i="29"/>
  <c r="F333" i="29"/>
  <c r="E333" i="29"/>
  <c r="D333" i="29"/>
  <c r="P310" i="29"/>
  <c r="O310" i="29"/>
  <c r="N310" i="29"/>
  <c r="M310" i="29"/>
  <c r="L310" i="29"/>
  <c r="K310" i="29"/>
  <c r="I310" i="29"/>
  <c r="H310" i="29"/>
  <c r="G310" i="29"/>
  <c r="F310" i="29"/>
  <c r="E310" i="29"/>
  <c r="D310" i="29"/>
  <c r="P309" i="29"/>
  <c r="O309" i="29"/>
  <c r="N309" i="29"/>
  <c r="M309" i="29"/>
  <c r="L309" i="29"/>
  <c r="K309" i="29"/>
  <c r="I309" i="29"/>
  <c r="H309" i="29"/>
  <c r="G309" i="29"/>
  <c r="F309" i="29"/>
  <c r="E309" i="29"/>
  <c r="D309" i="29"/>
  <c r="P285" i="29"/>
  <c r="O285" i="29"/>
  <c r="N285" i="29"/>
  <c r="M285" i="29"/>
  <c r="L285" i="29"/>
  <c r="K285" i="29"/>
  <c r="I285" i="29"/>
  <c r="H285" i="29"/>
  <c r="G285" i="29"/>
  <c r="F285" i="29"/>
  <c r="E285" i="29"/>
  <c r="D285" i="29"/>
  <c r="P284" i="29"/>
  <c r="O284" i="29"/>
  <c r="N284" i="29"/>
  <c r="M284" i="29"/>
  <c r="L284" i="29"/>
  <c r="K284" i="29"/>
  <c r="I284" i="29"/>
  <c r="H284" i="29"/>
  <c r="G284" i="29"/>
  <c r="F284" i="29"/>
  <c r="E284" i="29"/>
  <c r="D284" i="29"/>
  <c r="P263" i="29"/>
  <c r="O263" i="29"/>
  <c r="N263" i="29"/>
  <c r="M263" i="29"/>
  <c r="L263" i="29"/>
  <c r="K263" i="29"/>
  <c r="I263" i="29"/>
  <c r="H263" i="29"/>
  <c r="G263" i="29"/>
  <c r="F263" i="29"/>
  <c r="E263" i="29"/>
  <c r="D263" i="29"/>
  <c r="P262" i="29"/>
  <c r="O262" i="29"/>
  <c r="N262" i="29"/>
  <c r="M262" i="29"/>
  <c r="L262" i="29"/>
  <c r="K262" i="29"/>
  <c r="I262" i="29"/>
  <c r="H262" i="29"/>
  <c r="G262" i="29"/>
  <c r="F262" i="29"/>
  <c r="E262" i="29"/>
  <c r="D262" i="29"/>
  <c r="P239" i="29"/>
  <c r="O239" i="29"/>
  <c r="N239" i="29"/>
  <c r="M239" i="29"/>
  <c r="L239" i="29"/>
  <c r="K239" i="29"/>
  <c r="I239" i="29"/>
  <c r="H239" i="29"/>
  <c r="G239" i="29"/>
  <c r="F239" i="29"/>
  <c r="E239" i="29"/>
  <c r="D239" i="29"/>
  <c r="P216" i="29"/>
  <c r="O216" i="29"/>
  <c r="N216" i="29"/>
  <c r="M216" i="29"/>
  <c r="L216" i="29"/>
  <c r="K216" i="29"/>
  <c r="I216" i="29"/>
  <c r="H216" i="29"/>
  <c r="G216" i="29"/>
  <c r="F216" i="29"/>
  <c r="E216" i="29"/>
  <c r="D216" i="29"/>
  <c r="P215" i="29"/>
  <c r="P217" i="29" s="1"/>
  <c r="O215" i="29"/>
  <c r="N215" i="29"/>
  <c r="M215" i="29"/>
  <c r="L215" i="29"/>
  <c r="K215" i="29"/>
  <c r="I215" i="29"/>
  <c r="H215" i="29"/>
  <c r="G215" i="29"/>
  <c r="F215" i="29"/>
  <c r="E215" i="29"/>
  <c r="D215" i="29"/>
  <c r="P170" i="29"/>
  <c r="O170" i="29"/>
  <c r="N170" i="29"/>
  <c r="M170" i="29"/>
  <c r="L170" i="29"/>
  <c r="K170" i="29"/>
  <c r="I170" i="29"/>
  <c r="H170" i="29"/>
  <c r="G170" i="29"/>
  <c r="F170" i="29"/>
  <c r="E170" i="29"/>
  <c r="D170" i="29"/>
  <c r="P169" i="29"/>
  <c r="O169" i="29"/>
  <c r="N169" i="29"/>
  <c r="M169" i="29"/>
  <c r="L169" i="29"/>
  <c r="K169" i="29"/>
  <c r="I169" i="29"/>
  <c r="H169" i="29"/>
  <c r="G169" i="29"/>
  <c r="F169" i="29"/>
  <c r="E169" i="29"/>
  <c r="D169" i="29"/>
  <c r="P144" i="29"/>
  <c r="O144" i="29"/>
  <c r="N144" i="29"/>
  <c r="M144" i="29"/>
  <c r="L144" i="29"/>
  <c r="K144" i="29"/>
  <c r="I144" i="29"/>
  <c r="H144" i="29"/>
  <c r="G144" i="29"/>
  <c r="F144" i="29"/>
  <c r="E144" i="29"/>
  <c r="D144" i="29"/>
  <c r="P143" i="29"/>
  <c r="O143" i="29"/>
  <c r="N143" i="29"/>
  <c r="M143" i="29"/>
  <c r="L143" i="29"/>
  <c r="K143" i="29"/>
  <c r="I143" i="29"/>
  <c r="H143" i="29"/>
  <c r="G143" i="29"/>
  <c r="F143" i="29"/>
  <c r="E143" i="29"/>
  <c r="D143" i="29"/>
  <c r="P119" i="29"/>
  <c r="O119" i="29"/>
  <c r="N119" i="29"/>
  <c r="M119" i="29"/>
  <c r="L119" i="29"/>
  <c r="K119" i="29"/>
  <c r="I119" i="29"/>
  <c r="H119" i="29"/>
  <c r="G119" i="29"/>
  <c r="F119" i="29"/>
  <c r="E119" i="29"/>
  <c r="D119" i="29"/>
  <c r="P118" i="29"/>
  <c r="O118" i="29"/>
  <c r="N118" i="29"/>
  <c r="M118" i="29"/>
  <c r="L118" i="29"/>
  <c r="K118" i="29"/>
  <c r="I118" i="29"/>
  <c r="H118" i="29"/>
  <c r="G118" i="29"/>
  <c r="F118" i="29"/>
  <c r="E118" i="29"/>
  <c r="D118" i="29"/>
  <c r="P95" i="29"/>
  <c r="O95" i="29"/>
  <c r="N95" i="29"/>
  <c r="M95" i="29"/>
  <c r="L95" i="29"/>
  <c r="K95" i="29"/>
  <c r="I95" i="29"/>
  <c r="H95" i="29"/>
  <c r="G95" i="29"/>
  <c r="F95" i="29"/>
  <c r="E95" i="29"/>
  <c r="D95" i="29"/>
  <c r="P94" i="29"/>
  <c r="O94" i="29"/>
  <c r="N94" i="29"/>
  <c r="M94" i="29"/>
  <c r="L94" i="29"/>
  <c r="K94" i="29"/>
  <c r="I94" i="29"/>
  <c r="H94" i="29"/>
  <c r="G94" i="29"/>
  <c r="F94" i="29"/>
  <c r="E94" i="29"/>
  <c r="D94" i="29"/>
  <c r="P70" i="29"/>
  <c r="O70" i="29"/>
  <c r="N70" i="29"/>
  <c r="M70" i="29"/>
  <c r="L70" i="29"/>
  <c r="K70" i="29"/>
  <c r="I70" i="29"/>
  <c r="H70" i="29"/>
  <c r="G70" i="29"/>
  <c r="F70" i="29"/>
  <c r="E70" i="29"/>
  <c r="D70" i="29"/>
  <c r="P69" i="29"/>
  <c r="O69" i="29"/>
  <c r="N69" i="29"/>
  <c r="M69" i="29"/>
  <c r="L69" i="29"/>
  <c r="K69" i="29"/>
  <c r="I69" i="29"/>
  <c r="H69" i="29"/>
  <c r="G69" i="29"/>
  <c r="F69" i="29"/>
  <c r="E69" i="29"/>
  <c r="D69" i="29"/>
  <c r="P46" i="29"/>
  <c r="O46" i="29"/>
  <c r="N46" i="29"/>
  <c r="M46" i="29"/>
  <c r="L46" i="29"/>
  <c r="K46" i="29"/>
  <c r="I46" i="29"/>
  <c r="I48" i="29" s="1"/>
  <c r="H46" i="29"/>
  <c r="G46" i="29"/>
  <c r="F46" i="29"/>
  <c r="E46" i="29"/>
  <c r="D46" i="29"/>
  <c r="G414" i="29"/>
  <c r="G494" i="29"/>
  <c r="F494" i="29"/>
  <c r="E494" i="29"/>
  <c r="D494" i="29"/>
  <c r="G560" i="31"/>
  <c r="F560" i="31"/>
  <c r="E560" i="31"/>
  <c r="D560" i="31"/>
  <c r="G513" i="31"/>
  <c r="F513" i="31"/>
  <c r="E513" i="31"/>
  <c r="D513" i="31"/>
  <c r="G444" i="31"/>
  <c r="F444" i="31"/>
  <c r="E444" i="31"/>
  <c r="D444" i="31"/>
  <c r="G259" i="29"/>
  <c r="F259" i="29"/>
  <c r="E259" i="29"/>
  <c r="D259" i="29"/>
  <c r="G226" i="29"/>
  <c r="F226" i="29"/>
  <c r="E226" i="29"/>
  <c r="D226" i="29"/>
  <c r="F34" i="29"/>
  <c r="E232" i="29" l="1"/>
  <c r="G232" i="29"/>
  <c r="F40" i="29"/>
  <c r="D232" i="29"/>
  <c r="F232" i="29"/>
  <c r="P129" i="29"/>
  <c r="P134" i="29" s="1"/>
  <c r="O129" i="29"/>
  <c r="O134" i="29" s="1"/>
  <c r="N129" i="29"/>
  <c r="N134" i="29" s="1"/>
  <c r="M129" i="29"/>
  <c r="M134" i="29" s="1"/>
  <c r="L129" i="29"/>
  <c r="L134" i="29" s="1"/>
  <c r="K129" i="29"/>
  <c r="K134" i="29" s="1"/>
  <c r="J129" i="29"/>
  <c r="J134" i="29" s="1"/>
  <c r="I129" i="29"/>
  <c r="I134" i="29" s="1"/>
  <c r="H129" i="29"/>
  <c r="H134" i="29" s="1"/>
  <c r="G129" i="29"/>
  <c r="F129" i="29"/>
  <c r="E129" i="29"/>
  <c r="D129" i="29"/>
  <c r="P530" i="29"/>
  <c r="P536" i="29" s="1"/>
  <c r="O530" i="29"/>
  <c r="O536" i="29" s="1"/>
  <c r="N530" i="29"/>
  <c r="N536" i="29" s="1"/>
  <c r="M530" i="29"/>
  <c r="M536" i="29" s="1"/>
  <c r="L530" i="29"/>
  <c r="L536" i="29" s="1"/>
  <c r="K530" i="29"/>
  <c r="K536" i="29" s="1"/>
  <c r="J530" i="29"/>
  <c r="J536" i="29" s="1"/>
  <c r="I530" i="29"/>
  <c r="I536" i="29" s="1"/>
  <c r="H530" i="29"/>
  <c r="H536" i="29" s="1"/>
  <c r="G530" i="29"/>
  <c r="F530" i="29"/>
  <c r="E530" i="29"/>
  <c r="D530" i="29"/>
  <c r="P321" i="29"/>
  <c r="P326" i="29" s="1"/>
  <c r="O321" i="29"/>
  <c r="O326" i="29" s="1"/>
  <c r="N321" i="29"/>
  <c r="N326" i="29" s="1"/>
  <c r="M321" i="29"/>
  <c r="M326" i="29" s="1"/>
  <c r="L321" i="29"/>
  <c r="L326" i="29" s="1"/>
  <c r="K321" i="29"/>
  <c r="K326" i="29" s="1"/>
  <c r="J321" i="29"/>
  <c r="J326" i="29" s="1"/>
  <c r="I321" i="29"/>
  <c r="I326" i="29" s="1"/>
  <c r="H321" i="29"/>
  <c r="H326" i="29" s="1"/>
  <c r="G321" i="29"/>
  <c r="F321" i="29"/>
  <c r="E321" i="29"/>
  <c r="D321" i="29"/>
  <c r="G345" i="29"/>
  <c r="F345" i="29"/>
  <c r="E345" i="29"/>
  <c r="D345" i="29"/>
  <c r="G73" i="29"/>
  <c r="G78" i="29" s="1"/>
  <c r="F73" i="29"/>
  <c r="F78" i="29" s="1"/>
  <c r="E73" i="29"/>
  <c r="E78" i="29" s="1"/>
  <c r="D73" i="29"/>
  <c r="D78" i="29" s="1"/>
  <c r="G457" i="29"/>
  <c r="G459" i="29" s="1"/>
  <c r="F457" i="29"/>
  <c r="F459" i="29" s="1"/>
  <c r="E457" i="29"/>
  <c r="E459" i="29" s="1"/>
  <c r="D457" i="29"/>
  <c r="D459" i="29" s="1"/>
  <c r="G338" i="29"/>
  <c r="G340" i="29" s="1"/>
  <c r="F338" i="29"/>
  <c r="F340" i="29" s="1"/>
  <c r="E338" i="29"/>
  <c r="E340" i="29" s="1"/>
  <c r="D338" i="29"/>
  <c r="D340" i="29" s="1"/>
  <c r="G76" i="31"/>
  <c r="G81" i="31" s="1"/>
  <c r="F76" i="31"/>
  <c r="F81" i="31" s="1"/>
  <c r="E76" i="31"/>
  <c r="E81" i="31" s="1"/>
  <c r="D76" i="31"/>
  <c r="D81" i="31" s="1"/>
  <c r="N122" i="29"/>
  <c r="N124" i="29" s="1"/>
  <c r="L122" i="29"/>
  <c r="L124" i="29" s="1"/>
  <c r="J122" i="29"/>
  <c r="J124" i="29" s="1"/>
  <c r="I122" i="29"/>
  <c r="I124" i="29" s="1"/>
  <c r="H122" i="29"/>
  <c r="H124" i="29" s="1"/>
  <c r="G122" i="29"/>
  <c r="G124" i="29" s="1"/>
  <c r="F122" i="29"/>
  <c r="F124" i="29" s="1"/>
  <c r="E122" i="29"/>
  <c r="E124" i="29" s="1"/>
  <c r="D122" i="29"/>
  <c r="D124" i="29" s="1"/>
  <c r="O148" i="29"/>
  <c r="O151" i="29" s="1"/>
  <c r="N148" i="29"/>
  <c r="N151" i="29" s="1"/>
  <c r="M148" i="29"/>
  <c r="M151" i="29" s="1"/>
  <c r="L148" i="29"/>
  <c r="L151" i="29" s="1"/>
  <c r="K148" i="29"/>
  <c r="K151" i="29" s="1"/>
  <c r="J148" i="29"/>
  <c r="J151" i="29" s="1"/>
  <c r="I148" i="29"/>
  <c r="I151" i="29" s="1"/>
  <c r="H148" i="29"/>
  <c r="H151" i="29" s="1"/>
  <c r="G148" i="29"/>
  <c r="G151" i="29" s="1"/>
  <c r="F148" i="29"/>
  <c r="F151" i="29" s="1"/>
  <c r="E148" i="29"/>
  <c r="E151" i="29" s="1"/>
  <c r="D148" i="29"/>
  <c r="D151" i="29" s="1"/>
  <c r="G486" i="29"/>
  <c r="F486" i="29"/>
  <c r="G431" i="29"/>
  <c r="G433" i="29" s="1"/>
  <c r="F431" i="29"/>
  <c r="F433" i="29" s="1"/>
  <c r="G391" i="29"/>
  <c r="G395" i="29" s="1"/>
  <c r="F391" i="29"/>
  <c r="F395" i="29" s="1"/>
  <c r="G322" i="29"/>
  <c r="F322" i="29"/>
  <c r="G273" i="29"/>
  <c r="F273" i="29"/>
  <c r="G204" i="29"/>
  <c r="F204" i="29"/>
  <c r="G132" i="29"/>
  <c r="F132" i="29"/>
  <c r="O103" i="31"/>
  <c r="O105" i="31" s="1"/>
  <c r="N103" i="31"/>
  <c r="N105" i="31" s="1"/>
  <c r="L103" i="31"/>
  <c r="L105" i="31" s="1"/>
  <c r="J103" i="31"/>
  <c r="J105" i="31" s="1"/>
  <c r="I103" i="31"/>
  <c r="I105" i="31" s="1"/>
  <c r="H103" i="31"/>
  <c r="H105" i="31" s="1"/>
  <c r="G103" i="31"/>
  <c r="G105" i="31" s="1"/>
  <c r="F103" i="31"/>
  <c r="F105" i="31" s="1"/>
  <c r="E103" i="31"/>
  <c r="E105" i="31" s="1"/>
  <c r="D103" i="31"/>
  <c r="D105" i="31" s="1"/>
  <c r="O415" i="29"/>
  <c r="N415" i="29"/>
  <c r="L415" i="29"/>
  <c r="J415" i="29"/>
  <c r="I415" i="29"/>
  <c r="I419" i="29" s="1"/>
  <c r="H415" i="29"/>
  <c r="G415" i="29"/>
  <c r="F415" i="29"/>
  <c r="E415" i="29"/>
  <c r="D415" i="29"/>
  <c r="O99" i="29"/>
  <c r="N99" i="29"/>
  <c r="L99" i="29"/>
  <c r="J99" i="29"/>
  <c r="I99" i="29"/>
  <c r="H99" i="29"/>
  <c r="G99" i="29"/>
  <c r="G101" i="29" s="1"/>
  <c r="F99" i="29"/>
  <c r="E99" i="29"/>
  <c r="D99" i="29"/>
  <c r="O11" i="29"/>
  <c r="O15" i="29" s="1"/>
  <c r="N11" i="29"/>
  <c r="N15" i="29" s="1"/>
  <c r="L11" i="29"/>
  <c r="L15" i="29" s="1"/>
  <c r="J11" i="29"/>
  <c r="J15" i="29" s="1"/>
  <c r="I11" i="29"/>
  <c r="I15" i="29" s="1"/>
  <c r="H11" i="29"/>
  <c r="H15" i="29" s="1"/>
  <c r="G11" i="29"/>
  <c r="F11" i="29"/>
  <c r="F15" i="29" s="1"/>
  <c r="E11" i="29"/>
  <c r="D11" i="29"/>
  <c r="D15" i="29" s="1"/>
  <c r="O344" i="29"/>
  <c r="O350" i="29" s="1"/>
  <c r="N344" i="29"/>
  <c r="N350" i="29" s="1"/>
  <c r="M344" i="29"/>
  <c r="M350" i="29" s="1"/>
  <c r="L344" i="29"/>
  <c r="L350" i="29" s="1"/>
  <c r="K344" i="29"/>
  <c r="K350" i="29" s="1"/>
  <c r="J344" i="29"/>
  <c r="J350" i="29" s="1"/>
  <c r="I344" i="29"/>
  <c r="I350" i="29" s="1"/>
  <c r="H344" i="29"/>
  <c r="H350" i="29" s="1"/>
  <c r="G344" i="29"/>
  <c r="F344" i="29"/>
  <c r="E344" i="29"/>
  <c r="D344" i="29"/>
  <c r="P489" i="29"/>
  <c r="O489" i="29"/>
  <c r="N489" i="29"/>
  <c r="M489" i="29"/>
  <c r="L489" i="29"/>
  <c r="K489" i="29"/>
  <c r="J489" i="29"/>
  <c r="I489" i="29"/>
  <c r="H489" i="29"/>
  <c r="F489" i="29"/>
  <c r="E489" i="29"/>
  <c r="D489" i="29"/>
  <c r="G372" i="29"/>
  <c r="F372" i="29"/>
  <c r="E372" i="29"/>
  <c r="D368" i="29"/>
  <c r="D372" i="29" s="1"/>
  <c r="G254" i="29"/>
  <c r="F254" i="29"/>
  <c r="E254" i="29"/>
  <c r="H180" i="29"/>
  <c r="H186" i="29" s="1"/>
  <c r="G180" i="29"/>
  <c r="G186" i="29" s="1"/>
  <c r="F180" i="29"/>
  <c r="F186" i="29" s="1"/>
  <c r="E180" i="29"/>
  <c r="E186" i="29" s="1"/>
  <c r="D180" i="29"/>
  <c r="D186" i="29" s="1"/>
  <c r="G529" i="29"/>
  <c r="G536" i="29" s="1"/>
  <c r="F529" i="29"/>
  <c r="F536" i="29" s="1"/>
  <c r="E529" i="29"/>
  <c r="E536" i="29" s="1"/>
  <c r="D529" i="29"/>
  <c r="D536" i="29" s="1"/>
  <c r="G413" i="29"/>
  <c r="G419" i="29" s="1"/>
  <c r="F413" i="29"/>
  <c r="E413" i="29"/>
  <c r="D413" i="29"/>
  <c r="G320" i="29"/>
  <c r="F320" i="29"/>
  <c r="E320" i="29"/>
  <c r="D320" i="29"/>
  <c r="G128" i="29"/>
  <c r="F128" i="29"/>
  <c r="E128" i="29"/>
  <c r="D128" i="29"/>
  <c r="P106" i="29"/>
  <c r="O106" i="29"/>
  <c r="N106" i="29"/>
  <c r="M106" i="29"/>
  <c r="L106" i="29"/>
  <c r="K106" i="29"/>
  <c r="J106" i="29"/>
  <c r="I106" i="29"/>
  <c r="H106" i="29"/>
  <c r="G106" i="29"/>
  <c r="F106" i="29"/>
  <c r="E106" i="29"/>
  <c r="D106" i="29"/>
  <c r="P438" i="29"/>
  <c r="P443" i="29" s="1"/>
  <c r="O438" i="29"/>
  <c r="O443" i="29" s="1"/>
  <c r="N438" i="29"/>
  <c r="N443" i="29" s="1"/>
  <c r="M438" i="29"/>
  <c r="M443" i="29" s="1"/>
  <c r="L438" i="29"/>
  <c r="L443" i="29" s="1"/>
  <c r="K438" i="29"/>
  <c r="K443" i="29" s="1"/>
  <c r="J438" i="29"/>
  <c r="J443" i="29" s="1"/>
  <c r="I438" i="29"/>
  <c r="I443" i="29" s="1"/>
  <c r="H438" i="29"/>
  <c r="H443" i="29" s="1"/>
  <c r="G438" i="29"/>
  <c r="G443" i="29" s="1"/>
  <c r="F438" i="29"/>
  <c r="F443" i="29" s="1"/>
  <c r="E438" i="29"/>
  <c r="E443" i="29" s="1"/>
  <c r="D438" i="29"/>
  <c r="D443" i="29" s="1"/>
  <c r="P105" i="29"/>
  <c r="P110" i="29" s="1"/>
  <c r="O105" i="29"/>
  <c r="O110" i="29" s="1"/>
  <c r="N105" i="29"/>
  <c r="N110" i="29" s="1"/>
  <c r="M105" i="29"/>
  <c r="M110" i="29" s="1"/>
  <c r="L105" i="29"/>
  <c r="L110" i="29" s="1"/>
  <c r="H105" i="29"/>
  <c r="G105" i="29"/>
  <c r="F105" i="29"/>
  <c r="E105" i="29"/>
  <c r="D105" i="29"/>
  <c r="D390" i="29"/>
  <c r="D395" i="29" s="1"/>
  <c r="P552" i="29"/>
  <c r="P556" i="29" s="1"/>
  <c r="O552" i="29"/>
  <c r="O556" i="29" s="1"/>
  <c r="N552" i="29"/>
  <c r="N556" i="29" s="1"/>
  <c r="M552" i="29"/>
  <c r="M556" i="29" s="1"/>
  <c r="L552" i="29"/>
  <c r="L556" i="29" s="1"/>
  <c r="K552" i="29"/>
  <c r="K556" i="29" s="1"/>
  <c r="J552" i="29"/>
  <c r="J556" i="29" s="1"/>
  <c r="I552" i="29"/>
  <c r="I556" i="29" s="1"/>
  <c r="H552" i="29"/>
  <c r="H556" i="29" s="1"/>
  <c r="G552" i="29"/>
  <c r="G556" i="29" s="1"/>
  <c r="F552" i="29"/>
  <c r="F556" i="29" s="1"/>
  <c r="E552" i="29"/>
  <c r="E556" i="29" s="1"/>
  <c r="D552" i="29"/>
  <c r="D556" i="29" s="1"/>
  <c r="P56" i="29"/>
  <c r="O56" i="29"/>
  <c r="N56" i="29"/>
  <c r="M56" i="29"/>
  <c r="L56" i="29"/>
  <c r="K56" i="29"/>
  <c r="J56" i="29"/>
  <c r="I56" i="29"/>
  <c r="H56" i="29"/>
  <c r="G56" i="29"/>
  <c r="F56" i="29"/>
  <c r="E56" i="29"/>
  <c r="N21" i="31"/>
  <c r="I21" i="31"/>
  <c r="H21" i="31"/>
  <c r="G118" i="31"/>
  <c r="G307" i="31"/>
  <c r="G312" i="31" s="1"/>
  <c r="F307" i="31"/>
  <c r="F312" i="31" s="1"/>
  <c r="E307" i="31"/>
  <c r="E312" i="31" s="1"/>
  <c r="D307" i="31"/>
  <c r="D312" i="31" s="1"/>
  <c r="G561" i="29"/>
  <c r="G566" i="29" s="1"/>
  <c r="F561" i="29"/>
  <c r="F566" i="29" s="1"/>
  <c r="E561" i="29"/>
  <c r="E566" i="29" s="1"/>
  <c r="D561" i="29"/>
  <c r="D566" i="29" s="1"/>
  <c r="G376" i="31"/>
  <c r="F376" i="31"/>
  <c r="E376" i="31"/>
  <c r="D376" i="31"/>
  <c r="G540" i="29"/>
  <c r="F540" i="29"/>
  <c r="E540" i="29"/>
  <c r="D540" i="29"/>
  <c r="G448" i="29"/>
  <c r="F448" i="29"/>
  <c r="E448" i="29"/>
  <c r="D448" i="29"/>
  <c r="G423" i="29"/>
  <c r="G429" i="29" s="1"/>
  <c r="F423" i="29"/>
  <c r="F429" i="29" s="1"/>
  <c r="E423" i="29"/>
  <c r="E429" i="29" s="1"/>
  <c r="D423" i="29"/>
  <c r="D429" i="29" s="1"/>
  <c r="O512" i="31"/>
  <c r="N512" i="31"/>
  <c r="M512" i="31"/>
  <c r="L512" i="31"/>
  <c r="K512" i="31"/>
  <c r="K518" i="31" s="1"/>
  <c r="J512" i="31"/>
  <c r="I512" i="31"/>
  <c r="H512" i="31"/>
  <c r="G512" i="31"/>
  <c r="F512" i="31"/>
  <c r="E512" i="31"/>
  <c r="D512" i="31"/>
  <c r="G377" i="29"/>
  <c r="F377" i="29"/>
  <c r="E377" i="29"/>
  <c r="D377" i="29"/>
  <c r="G354" i="29"/>
  <c r="F354" i="29"/>
  <c r="E354" i="29"/>
  <c r="D354" i="29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P330" i="29"/>
  <c r="P335" i="29" s="1"/>
  <c r="O330" i="29"/>
  <c r="N330" i="29"/>
  <c r="M330" i="29"/>
  <c r="L330" i="29"/>
  <c r="K330" i="29"/>
  <c r="J330" i="29"/>
  <c r="I330" i="29"/>
  <c r="H330" i="29"/>
  <c r="G330" i="29"/>
  <c r="F330" i="29"/>
  <c r="E330" i="29"/>
  <c r="D330" i="29"/>
  <c r="G46" i="31"/>
  <c r="F46" i="31"/>
  <c r="E46" i="31"/>
  <c r="D46" i="31"/>
  <c r="G559" i="31"/>
  <c r="F559" i="31"/>
  <c r="E559" i="31"/>
  <c r="D559" i="31"/>
  <c r="G258" i="29"/>
  <c r="O354" i="31"/>
  <c r="N354" i="31"/>
  <c r="M354" i="31"/>
  <c r="M360" i="31" s="1"/>
  <c r="L354" i="31"/>
  <c r="K354" i="31"/>
  <c r="K360" i="31" s="1"/>
  <c r="J354" i="31"/>
  <c r="I354" i="31"/>
  <c r="H354" i="31"/>
  <c r="G354" i="31"/>
  <c r="F354" i="31"/>
  <c r="E354" i="31"/>
  <c r="D354" i="31"/>
  <c r="P335" i="31"/>
  <c r="P467" i="31"/>
  <c r="O467" i="31"/>
  <c r="N467" i="31"/>
  <c r="M467" i="31"/>
  <c r="L467" i="31"/>
  <c r="K467" i="31"/>
  <c r="J467" i="31"/>
  <c r="I467" i="31"/>
  <c r="H467" i="31"/>
  <c r="G467" i="31"/>
  <c r="F467" i="31"/>
  <c r="E467" i="31"/>
  <c r="D467" i="31"/>
  <c r="G91" i="29"/>
  <c r="G65" i="29"/>
  <c r="F65" i="29"/>
  <c r="E65" i="29"/>
  <c r="D65" i="29"/>
  <c r="G489" i="31"/>
  <c r="F489" i="31"/>
  <c r="E489" i="31"/>
  <c r="D489" i="31"/>
  <c r="G420" i="31"/>
  <c r="F420" i="31"/>
  <c r="E420" i="31"/>
  <c r="D420" i="31"/>
  <c r="G492" i="29"/>
  <c r="D492" i="29"/>
  <c r="G539" i="29"/>
  <c r="F539" i="29"/>
  <c r="E539" i="29"/>
  <c r="D539" i="29"/>
  <c r="P237" i="31"/>
  <c r="O237" i="31"/>
  <c r="N237" i="31"/>
  <c r="M237" i="31"/>
  <c r="L237" i="31"/>
  <c r="K237" i="31"/>
  <c r="J237" i="31"/>
  <c r="I237" i="31"/>
  <c r="H237" i="31"/>
  <c r="G237" i="31"/>
  <c r="F237" i="31"/>
  <c r="E237" i="31"/>
  <c r="D237" i="31"/>
  <c r="P447" i="29"/>
  <c r="O447" i="29"/>
  <c r="N447" i="29"/>
  <c r="M447" i="29"/>
  <c r="L447" i="29"/>
  <c r="K447" i="29"/>
  <c r="J447" i="29"/>
  <c r="I447" i="29"/>
  <c r="H447" i="29"/>
  <c r="G447" i="29"/>
  <c r="F447" i="29"/>
  <c r="E447" i="29"/>
  <c r="D447" i="29"/>
  <c r="G515" i="29"/>
  <c r="F515" i="29"/>
  <c r="E515" i="29"/>
  <c r="D515" i="29"/>
  <c r="G471" i="29"/>
  <c r="F471" i="29"/>
  <c r="E471" i="29"/>
  <c r="D471" i="29"/>
  <c r="G446" i="29"/>
  <c r="F446" i="29"/>
  <c r="E446" i="29"/>
  <c r="D446" i="29"/>
  <c r="K124" i="31"/>
  <c r="G405" i="29"/>
  <c r="D405" i="29"/>
  <c r="G375" i="29"/>
  <c r="F375" i="29"/>
  <c r="E375" i="29"/>
  <c r="D375" i="29"/>
  <c r="G353" i="29"/>
  <c r="F353" i="29"/>
  <c r="E353" i="29"/>
  <c r="D353" i="29"/>
  <c r="G329" i="29"/>
  <c r="F329" i="29"/>
  <c r="E329" i="29"/>
  <c r="D329" i="29"/>
  <c r="G303" i="29"/>
  <c r="D303" i="29"/>
  <c r="O466" i="31"/>
  <c r="N466" i="31"/>
  <c r="M466" i="31"/>
  <c r="L466" i="31"/>
  <c r="K466" i="31"/>
  <c r="I466" i="31"/>
  <c r="H466" i="31"/>
  <c r="G466" i="31"/>
  <c r="F466" i="31"/>
  <c r="E466" i="31"/>
  <c r="D466" i="31"/>
  <c r="G279" i="29"/>
  <c r="F279" i="29"/>
  <c r="E279" i="29"/>
  <c r="D279" i="29"/>
  <c r="G43" i="29"/>
  <c r="E43" i="29"/>
  <c r="P138" i="29"/>
  <c r="P145" i="29" s="1"/>
  <c r="O138" i="29"/>
  <c r="O145" i="29" s="1"/>
  <c r="N138" i="29"/>
  <c r="N145" i="29" s="1"/>
  <c r="M138" i="29"/>
  <c r="M145" i="29" s="1"/>
  <c r="L138" i="29"/>
  <c r="L145" i="29" s="1"/>
  <c r="K138" i="29"/>
  <c r="K145" i="29" s="1"/>
  <c r="J138" i="29"/>
  <c r="J145" i="29" s="1"/>
  <c r="I138" i="29"/>
  <c r="I145" i="29" s="1"/>
  <c r="H138" i="29"/>
  <c r="H145" i="29" s="1"/>
  <c r="G138" i="29"/>
  <c r="F138" i="29"/>
  <c r="E138" i="29"/>
  <c r="D138" i="29"/>
  <c r="P58" i="29"/>
  <c r="O58" i="29"/>
  <c r="N58" i="29"/>
  <c r="M58" i="29"/>
  <c r="L58" i="29"/>
  <c r="K58" i="29"/>
  <c r="J58" i="29"/>
  <c r="I58" i="29"/>
  <c r="H58" i="29"/>
  <c r="G58" i="29"/>
  <c r="F58" i="29"/>
  <c r="E58" i="29"/>
  <c r="D58" i="29"/>
  <c r="P297" i="29"/>
  <c r="O297" i="29"/>
  <c r="N297" i="29"/>
  <c r="M297" i="29"/>
  <c r="L297" i="29"/>
  <c r="K297" i="29"/>
  <c r="J297" i="29"/>
  <c r="J300" i="29" s="1"/>
  <c r="I297" i="29"/>
  <c r="H297" i="29"/>
  <c r="G297" i="29"/>
  <c r="F297" i="29"/>
  <c r="E297" i="29"/>
  <c r="D297" i="29"/>
  <c r="P397" i="31"/>
  <c r="P403" i="31" s="1"/>
  <c r="O397" i="31"/>
  <c r="O403" i="31" s="1"/>
  <c r="N397" i="31"/>
  <c r="N403" i="31" s="1"/>
  <c r="M397" i="31"/>
  <c r="M403" i="31" s="1"/>
  <c r="L397" i="31"/>
  <c r="L403" i="31" s="1"/>
  <c r="K397" i="31"/>
  <c r="K403" i="31" s="1"/>
  <c r="J397" i="31"/>
  <c r="J403" i="31" s="1"/>
  <c r="I397" i="31"/>
  <c r="I403" i="31" s="1"/>
  <c r="H397" i="31"/>
  <c r="H403" i="31" s="1"/>
  <c r="G397" i="31"/>
  <c r="G403" i="31" s="1"/>
  <c r="F397" i="31"/>
  <c r="F403" i="31" s="1"/>
  <c r="E397" i="31"/>
  <c r="E403" i="31" s="1"/>
  <c r="D397" i="31"/>
  <c r="D403" i="31" s="1"/>
  <c r="P488" i="31"/>
  <c r="O488" i="31"/>
  <c r="N488" i="31"/>
  <c r="M488" i="31"/>
  <c r="L488" i="31"/>
  <c r="K488" i="31"/>
  <c r="J488" i="31"/>
  <c r="I488" i="31"/>
  <c r="H488" i="31"/>
  <c r="G488" i="31"/>
  <c r="F488" i="31"/>
  <c r="E488" i="31"/>
  <c r="D488" i="31"/>
  <c r="P236" i="29"/>
  <c r="O236" i="29"/>
  <c r="M236" i="29"/>
  <c r="N236" i="29"/>
  <c r="K236" i="29"/>
  <c r="K241" i="29" s="1"/>
  <c r="L236" i="29"/>
  <c r="J236" i="29"/>
  <c r="I236" i="29"/>
  <c r="H236" i="29"/>
  <c r="G236" i="29"/>
  <c r="F236" i="29"/>
  <c r="E236" i="29"/>
  <c r="D236" i="29"/>
  <c r="G235" i="29"/>
  <c r="F235" i="29"/>
  <c r="G137" i="29"/>
  <c r="F137" i="29"/>
  <c r="E137" i="29"/>
  <c r="D137" i="29"/>
  <c r="P238" i="31"/>
  <c r="O238" i="31"/>
  <c r="N238" i="31"/>
  <c r="M238" i="31"/>
  <c r="L238" i="31"/>
  <c r="K238" i="31"/>
  <c r="J238" i="31"/>
  <c r="I238" i="31"/>
  <c r="H238" i="31"/>
  <c r="G238" i="31"/>
  <c r="F238" i="31"/>
  <c r="E238" i="31"/>
  <c r="D238" i="31"/>
  <c r="P69" i="31"/>
  <c r="O69" i="31"/>
  <c r="N69" i="31"/>
  <c r="M69" i="31"/>
  <c r="L69" i="31"/>
  <c r="K69" i="31"/>
  <c r="J69" i="31"/>
  <c r="I69" i="31"/>
  <c r="H69" i="31"/>
  <c r="G69" i="31"/>
  <c r="F69" i="31"/>
  <c r="E69" i="31"/>
  <c r="D69" i="31"/>
  <c r="P45" i="31"/>
  <c r="O45" i="31"/>
  <c r="N45" i="31"/>
  <c r="M45" i="31"/>
  <c r="L45" i="31"/>
  <c r="K45" i="31"/>
  <c r="J45" i="31"/>
  <c r="J52" i="31" s="1"/>
  <c r="I45" i="31"/>
  <c r="H45" i="31"/>
  <c r="G45" i="31"/>
  <c r="F45" i="31"/>
  <c r="E45" i="31"/>
  <c r="D45" i="31"/>
  <c r="P19" i="31"/>
  <c r="P26" i="31" s="1"/>
  <c r="O19" i="31"/>
  <c r="O26" i="31" s="1"/>
  <c r="N19" i="31"/>
  <c r="N26" i="31" s="1"/>
  <c r="M19" i="31"/>
  <c r="M26" i="31" s="1"/>
  <c r="L19" i="31"/>
  <c r="L26" i="31" s="1"/>
  <c r="K19" i="31"/>
  <c r="K26" i="31" s="1"/>
  <c r="J19" i="31"/>
  <c r="J26" i="31" s="1"/>
  <c r="I19" i="31"/>
  <c r="I26" i="31" s="1"/>
  <c r="H19" i="31"/>
  <c r="H26" i="31" s="1"/>
  <c r="G19" i="31"/>
  <c r="G26" i="31" s="1"/>
  <c r="F19" i="31"/>
  <c r="F26" i="31" s="1"/>
  <c r="E19" i="31"/>
  <c r="E26" i="31" s="1"/>
  <c r="D19" i="31"/>
  <c r="D26" i="31" s="1"/>
  <c r="P165" i="29"/>
  <c r="O165" i="29"/>
  <c r="N165" i="29"/>
  <c r="M165" i="29"/>
  <c r="L165" i="29"/>
  <c r="K165" i="29"/>
  <c r="J165" i="29"/>
  <c r="J172" i="29" s="1"/>
  <c r="I165" i="29"/>
  <c r="H165" i="29"/>
  <c r="G165" i="29"/>
  <c r="F165" i="29"/>
  <c r="E165" i="29"/>
  <c r="D165" i="29"/>
  <c r="P516" i="29"/>
  <c r="O516" i="29"/>
  <c r="N516" i="29"/>
  <c r="M516" i="29"/>
  <c r="L516" i="29"/>
  <c r="K516" i="29"/>
  <c r="K521" i="29" s="1"/>
  <c r="J516" i="29"/>
  <c r="I516" i="29"/>
  <c r="H516" i="29"/>
  <c r="G516" i="29"/>
  <c r="F516" i="29"/>
  <c r="E516" i="29"/>
  <c r="D516" i="29"/>
  <c r="P376" i="29"/>
  <c r="O376" i="29"/>
  <c r="N376" i="29"/>
  <c r="M376" i="29"/>
  <c r="L376" i="29"/>
  <c r="K376" i="29"/>
  <c r="J376" i="29"/>
  <c r="I376" i="29"/>
  <c r="H376" i="29"/>
  <c r="G376" i="29"/>
  <c r="F376" i="29"/>
  <c r="E376" i="29"/>
  <c r="D376" i="29"/>
  <c r="P304" i="29"/>
  <c r="P311" i="29" s="1"/>
  <c r="O304" i="29"/>
  <c r="N304" i="29"/>
  <c r="M304" i="29"/>
  <c r="L304" i="29"/>
  <c r="K304" i="29"/>
  <c r="J304" i="29"/>
  <c r="I304" i="29"/>
  <c r="H304" i="29"/>
  <c r="G304" i="29"/>
  <c r="F304" i="29"/>
  <c r="E304" i="29"/>
  <c r="D304" i="29"/>
  <c r="P537" i="31"/>
  <c r="O537" i="31"/>
  <c r="N537" i="31"/>
  <c r="M537" i="31"/>
  <c r="L537" i="31"/>
  <c r="K537" i="31"/>
  <c r="J537" i="31"/>
  <c r="I537" i="31"/>
  <c r="H537" i="31"/>
  <c r="G537" i="31"/>
  <c r="F537" i="31"/>
  <c r="E537" i="31"/>
  <c r="D537" i="31"/>
  <c r="P536" i="31"/>
  <c r="O536" i="31"/>
  <c r="N536" i="31"/>
  <c r="M536" i="31"/>
  <c r="L536" i="31"/>
  <c r="K536" i="31"/>
  <c r="I536" i="31"/>
  <c r="H536" i="31"/>
  <c r="G536" i="31"/>
  <c r="F536" i="31"/>
  <c r="E536" i="31"/>
  <c r="D536" i="31"/>
  <c r="O330" i="31"/>
  <c r="N330" i="31"/>
  <c r="M330" i="31"/>
  <c r="L330" i="31"/>
  <c r="K330" i="31"/>
  <c r="J330" i="31"/>
  <c r="I330" i="31"/>
  <c r="H330" i="31"/>
  <c r="G330" i="31"/>
  <c r="F330" i="31"/>
  <c r="E330" i="31"/>
  <c r="D330" i="31"/>
  <c r="G211" i="29"/>
  <c r="D211" i="29"/>
  <c r="P166" i="31"/>
  <c r="P173" i="31" s="1"/>
  <c r="O166" i="31"/>
  <c r="N166" i="31"/>
  <c r="M166" i="31"/>
  <c r="L166" i="31"/>
  <c r="K166" i="31"/>
  <c r="J166" i="31"/>
  <c r="J173" i="31" s="1"/>
  <c r="I166" i="31"/>
  <c r="H166" i="31"/>
  <c r="G166" i="31"/>
  <c r="F166" i="31"/>
  <c r="E166" i="31"/>
  <c r="D166" i="31"/>
  <c r="G257" i="29"/>
  <c r="G264" i="29" s="1"/>
  <c r="G18" i="29"/>
  <c r="F18" i="29"/>
  <c r="P374" i="29"/>
  <c r="O374" i="29"/>
  <c r="N374" i="29"/>
  <c r="M374" i="29"/>
  <c r="L374" i="29"/>
  <c r="K374" i="29"/>
  <c r="I374" i="29"/>
  <c r="H374" i="29"/>
  <c r="G374" i="29"/>
  <c r="F374" i="29"/>
  <c r="E374" i="29"/>
  <c r="D374" i="29"/>
  <c r="J352" i="29"/>
  <c r="O165" i="31"/>
  <c r="O173" i="31" s="1"/>
  <c r="N165" i="31"/>
  <c r="N173" i="31" s="1"/>
  <c r="M165" i="31"/>
  <c r="M173" i="31" s="1"/>
  <c r="L165" i="31"/>
  <c r="L173" i="31" s="1"/>
  <c r="K165" i="31"/>
  <c r="K173" i="31" s="1"/>
  <c r="I165" i="31"/>
  <c r="H165" i="31"/>
  <c r="G165" i="31"/>
  <c r="F165" i="31"/>
  <c r="E165" i="31"/>
  <c r="D165" i="31"/>
  <c r="P140" i="31"/>
  <c r="P148" i="31" s="1"/>
  <c r="O140" i="31"/>
  <c r="O148" i="31" s="1"/>
  <c r="N140" i="31"/>
  <c r="N148" i="31" s="1"/>
  <c r="M140" i="31"/>
  <c r="M148" i="31" s="1"/>
  <c r="L140" i="31"/>
  <c r="L148" i="31" s="1"/>
  <c r="K140" i="31"/>
  <c r="K148" i="31" s="1"/>
  <c r="J140" i="31"/>
  <c r="J148" i="31" s="1"/>
  <c r="I140" i="31"/>
  <c r="I148" i="31" s="1"/>
  <c r="H140" i="31"/>
  <c r="H148" i="31" s="1"/>
  <c r="G140" i="31"/>
  <c r="G148" i="31" s="1"/>
  <c r="F140" i="31"/>
  <c r="F148" i="31" s="1"/>
  <c r="E140" i="31"/>
  <c r="E148" i="31" s="1"/>
  <c r="D140" i="31"/>
  <c r="D148" i="31" s="1"/>
  <c r="P92" i="31"/>
  <c r="O92" i="31"/>
  <c r="N92" i="31"/>
  <c r="M92" i="31"/>
  <c r="M101" i="31" s="1"/>
  <c r="L92" i="31"/>
  <c r="K92" i="31"/>
  <c r="K101" i="31" s="1"/>
  <c r="I92" i="31"/>
  <c r="H92" i="31"/>
  <c r="G92" i="31"/>
  <c r="F92" i="31"/>
  <c r="E92" i="31"/>
  <c r="D92" i="31"/>
  <c r="P43" i="31"/>
  <c r="P52" i="31" s="1"/>
  <c r="O43" i="31"/>
  <c r="O52" i="31" s="1"/>
  <c r="N43" i="31"/>
  <c r="N52" i="31" s="1"/>
  <c r="M43" i="31"/>
  <c r="M52" i="31" s="1"/>
  <c r="L43" i="31"/>
  <c r="L52" i="31" s="1"/>
  <c r="K43" i="31"/>
  <c r="K52" i="31" s="1"/>
  <c r="I43" i="31"/>
  <c r="H43" i="31"/>
  <c r="G43" i="31"/>
  <c r="F43" i="31"/>
  <c r="E43" i="31"/>
  <c r="D43" i="31"/>
  <c r="P486" i="31"/>
  <c r="O486" i="31"/>
  <c r="N486" i="31"/>
  <c r="M486" i="31"/>
  <c r="L486" i="31"/>
  <c r="K486" i="31"/>
  <c r="J486" i="31"/>
  <c r="I486" i="31"/>
  <c r="H486" i="31"/>
  <c r="G486" i="31"/>
  <c r="F486" i="31"/>
  <c r="E486" i="31"/>
  <c r="D486" i="31"/>
  <c r="P557" i="31"/>
  <c r="P566" i="31" s="1"/>
  <c r="O557" i="31"/>
  <c r="O566" i="31" s="1"/>
  <c r="N557" i="31"/>
  <c r="N566" i="31" s="1"/>
  <c r="M557" i="31"/>
  <c r="M566" i="31" s="1"/>
  <c r="L557" i="31"/>
  <c r="L566" i="31" s="1"/>
  <c r="K557" i="31"/>
  <c r="K566" i="31" s="1"/>
  <c r="J557" i="31"/>
  <c r="J566" i="31" s="1"/>
  <c r="I557" i="31"/>
  <c r="I566" i="31" s="1"/>
  <c r="H557" i="31"/>
  <c r="H566" i="31" s="1"/>
  <c r="G557" i="31"/>
  <c r="G566" i="31" s="1"/>
  <c r="F557" i="31"/>
  <c r="F566" i="31" s="1"/>
  <c r="E557" i="31"/>
  <c r="E566" i="31" s="1"/>
  <c r="D557" i="31"/>
  <c r="D566" i="31" s="1"/>
  <c r="F597" i="29" l="1"/>
  <c r="P597" i="29"/>
  <c r="E597" i="29"/>
  <c r="E134" i="29"/>
  <c r="G134" i="29"/>
  <c r="E326" i="29"/>
  <c r="G326" i="29"/>
  <c r="E350" i="29"/>
  <c r="G350" i="29"/>
  <c r="K496" i="31"/>
  <c r="M496" i="31"/>
  <c r="H52" i="31"/>
  <c r="E173" i="31"/>
  <c r="G173" i="31"/>
  <c r="I173" i="31"/>
  <c r="K382" i="29"/>
  <c r="E145" i="29"/>
  <c r="G145" i="29"/>
  <c r="E110" i="29"/>
  <c r="G110" i="29"/>
  <c r="K244" i="31"/>
  <c r="P244" i="31"/>
  <c r="I52" i="31"/>
  <c r="D173" i="31"/>
  <c r="F173" i="31"/>
  <c r="H173" i="31"/>
  <c r="P382" i="29"/>
  <c r="D145" i="29"/>
  <c r="F145" i="29"/>
  <c r="E15" i="29"/>
  <c r="G15" i="29"/>
  <c r="D110" i="29"/>
  <c r="F110" i="29"/>
  <c r="H110" i="29"/>
  <c r="D134" i="29"/>
  <c r="F134" i="29"/>
  <c r="D326" i="29"/>
  <c r="F326" i="29"/>
  <c r="G489" i="29"/>
  <c r="G597" i="29" s="1"/>
  <c r="D350" i="29"/>
  <c r="F350" i="29"/>
  <c r="F61" i="29"/>
  <c r="H61" i="29"/>
  <c r="J61" i="29"/>
  <c r="L61" i="29"/>
  <c r="N61" i="29"/>
  <c r="P61" i="29"/>
  <c r="P582" i="29" s="1"/>
  <c r="E61" i="29"/>
  <c r="G61" i="29"/>
  <c r="I61" i="29"/>
  <c r="K61" i="29"/>
  <c r="M61" i="29"/>
  <c r="O61" i="29"/>
  <c r="O561" i="29"/>
  <c r="O566" i="29" s="1"/>
  <c r="N561" i="29"/>
  <c r="N566" i="29" s="1"/>
  <c r="M561" i="29"/>
  <c r="M566" i="29" s="1"/>
  <c r="L561" i="29"/>
  <c r="L566" i="29" s="1"/>
  <c r="K561" i="29"/>
  <c r="K566" i="29" s="1"/>
  <c r="J561" i="29"/>
  <c r="J566" i="29" s="1"/>
  <c r="I561" i="29"/>
  <c r="I566" i="29" s="1"/>
  <c r="H561" i="29"/>
  <c r="H566" i="29" s="1"/>
  <c r="F492" i="29"/>
  <c r="E492" i="29"/>
  <c r="I423" i="29"/>
  <c r="I429" i="29" s="1"/>
  <c r="P398" i="29"/>
  <c r="P405" i="29" s="1"/>
  <c r="K398" i="29"/>
  <c r="J398" i="29"/>
  <c r="H398" i="29"/>
  <c r="F405" i="29"/>
  <c r="E405" i="29"/>
  <c r="Q377" i="29"/>
  <c r="Q382" i="29" s="1"/>
  <c r="N355" i="29"/>
  <c r="I355" i="29"/>
  <c r="H355" i="29"/>
  <c r="F303" i="29"/>
  <c r="E303" i="29"/>
  <c r="H260" i="29"/>
  <c r="F258" i="29"/>
  <c r="E258" i="29"/>
  <c r="D258" i="29"/>
  <c r="P235" i="29"/>
  <c r="P241" i="29" s="1"/>
  <c r="J235" i="29"/>
  <c r="H235" i="29"/>
  <c r="Q593" i="29" l="1"/>
  <c r="Q603" i="29" s="1"/>
  <c r="I405" i="29"/>
  <c r="K405" i="29"/>
  <c r="M405" i="29"/>
  <c r="O405" i="29"/>
  <c r="H405" i="29"/>
  <c r="J405" i="29"/>
  <c r="L405" i="29"/>
  <c r="N405" i="29"/>
  <c r="O305" i="29"/>
  <c r="O311" i="29" s="1"/>
  <c r="N305" i="29"/>
  <c r="N311" i="29" s="1"/>
  <c r="M305" i="29"/>
  <c r="M311" i="29" s="1"/>
  <c r="L305" i="29"/>
  <c r="L311" i="29" s="1"/>
  <c r="K305" i="29"/>
  <c r="K311" i="29" s="1"/>
  <c r="J305" i="29"/>
  <c r="J311" i="29" s="1"/>
  <c r="I305" i="29"/>
  <c r="I311" i="29" s="1"/>
  <c r="H305" i="29"/>
  <c r="H311" i="29" s="1"/>
  <c r="G305" i="29"/>
  <c r="G311" i="29" s="1"/>
  <c r="F305" i="29"/>
  <c r="F311" i="29" s="1"/>
  <c r="E305" i="29"/>
  <c r="E311" i="29" s="1"/>
  <c r="D305" i="29"/>
  <c r="D311" i="29" s="1"/>
  <c r="P91" i="29"/>
  <c r="O91" i="29"/>
  <c r="N91" i="29"/>
  <c r="M91" i="29"/>
  <c r="M97" i="29" s="1"/>
  <c r="L91" i="29"/>
  <c r="K91" i="29"/>
  <c r="K97" i="29" s="1"/>
  <c r="J91" i="29"/>
  <c r="I91" i="29"/>
  <c r="H91" i="29"/>
  <c r="F91" i="29"/>
  <c r="E91" i="29"/>
  <c r="D91" i="29"/>
  <c r="P257" i="29"/>
  <c r="P264" i="29" s="1"/>
  <c r="O257" i="29"/>
  <c r="O264" i="29" s="1"/>
  <c r="N257" i="29"/>
  <c r="N264" i="29" s="1"/>
  <c r="M257" i="29"/>
  <c r="M264" i="29" s="1"/>
  <c r="L257" i="29"/>
  <c r="L264" i="29" s="1"/>
  <c r="K257" i="29"/>
  <c r="K264" i="29" s="1"/>
  <c r="J257" i="29"/>
  <c r="J264" i="29" s="1"/>
  <c r="I257" i="29"/>
  <c r="I264" i="29" s="1"/>
  <c r="H257" i="29"/>
  <c r="H264" i="29" s="1"/>
  <c r="F257" i="29"/>
  <c r="F264" i="29" s="1"/>
  <c r="E257" i="29"/>
  <c r="E264" i="29" s="1"/>
  <c r="D257" i="29"/>
  <c r="D264" i="29" s="1"/>
  <c r="O34" i="29"/>
  <c r="O40" i="29" s="1"/>
  <c r="N34" i="29"/>
  <c r="N40" i="29" s="1"/>
  <c r="M34" i="29"/>
  <c r="M40" i="29" s="1"/>
  <c r="L34" i="29"/>
  <c r="L40" i="29" s="1"/>
  <c r="K34" i="29"/>
  <c r="K40" i="29" s="1"/>
  <c r="J34" i="29"/>
  <c r="J40" i="29" s="1"/>
  <c r="I34" i="29"/>
  <c r="I40" i="29" s="1"/>
  <c r="H34" i="29"/>
  <c r="H40" i="29" s="1"/>
  <c r="G34" i="29"/>
  <c r="G40" i="29" s="1"/>
  <c r="E34" i="29"/>
  <c r="E40" i="29" s="1"/>
  <c r="D34" i="29"/>
  <c r="D40" i="29" s="1"/>
  <c r="J17" i="29"/>
  <c r="G408" i="29" l="1"/>
  <c r="G266" i="29"/>
  <c r="G268" i="29" s="1"/>
  <c r="E266" i="29"/>
  <c r="E268" i="29" s="1"/>
  <c r="D266" i="29"/>
  <c r="D268" i="29" s="1"/>
  <c r="K266" i="29"/>
  <c r="K268" i="29" s="1"/>
  <c r="N266" i="29"/>
  <c r="N268" i="29" s="1"/>
  <c r="G207" i="29"/>
  <c r="G208" i="29" s="1"/>
  <c r="F207" i="29"/>
  <c r="E207" i="29"/>
  <c r="D207" i="29"/>
  <c r="P198" i="29"/>
  <c r="P199" i="29" s="1"/>
  <c r="O198" i="29"/>
  <c r="O199" i="29" s="1"/>
  <c r="N198" i="29"/>
  <c r="N199" i="29" s="1"/>
  <c r="M198" i="29"/>
  <c r="M199" i="29" s="1"/>
  <c r="L198" i="29"/>
  <c r="L199" i="29" s="1"/>
  <c r="K198" i="29"/>
  <c r="K199" i="29" s="1"/>
  <c r="I198" i="29"/>
  <c r="I199" i="29" s="1"/>
  <c r="H198" i="29"/>
  <c r="H199" i="29" s="1"/>
  <c r="G198" i="29"/>
  <c r="G199" i="29" s="1"/>
  <c r="F198" i="29"/>
  <c r="F199" i="29" s="1"/>
  <c r="E198" i="29"/>
  <c r="E199" i="29" s="1"/>
  <c r="D198" i="29"/>
  <c r="D199" i="29" s="1"/>
  <c r="P368" i="29"/>
  <c r="P372" i="29" s="1"/>
  <c r="O368" i="29"/>
  <c r="O372" i="29" s="1"/>
  <c r="N368" i="29"/>
  <c r="N372" i="29" s="1"/>
  <c r="M372" i="29"/>
  <c r="L372" i="29"/>
  <c r="K372" i="29"/>
  <c r="J372" i="29"/>
  <c r="I368" i="29"/>
  <c r="I372" i="29" s="1"/>
  <c r="H368" i="29"/>
  <c r="H372" i="29" s="1"/>
  <c r="P493" i="29"/>
  <c r="O493" i="29"/>
  <c r="N493" i="29"/>
  <c r="M493" i="29"/>
  <c r="M500" i="29" s="1"/>
  <c r="L493" i="29"/>
  <c r="K493" i="29"/>
  <c r="K500" i="29" s="1"/>
  <c r="J493" i="29"/>
  <c r="I493" i="29"/>
  <c r="H493" i="29"/>
  <c r="G493" i="29"/>
  <c r="F493" i="29"/>
  <c r="E493" i="29"/>
  <c r="D493" i="29"/>
  <c r="O421" i="31"/>
  <c r="O425" i="31" s="1"/>
  <c r="N421" i="31"/>
  <c r="N425" i="31" s="1"/>
  <c r="M421" i="31"/>
  <c r="M425" i="31" s="1"/>
  <c r="L421" i="31"/>
  <c r="L425" i="31" s="1"/>
  <c r="K421" i="31"/>
  <c r="K425" i="31" s="1"/>
  <c r="J421" i="31"/>
  <c r="J425" i="31" s="1"/>
  <c r="I421" i="31"/>
  <c r="I425" i="31" s="1"/>
  <c r="H421" i="31"/>
  <c r="H425" i="31" s="1"/>
  <c r="G421" i="31"/>
  <c r="G425" i="31" s="1"/>
  <c r="F421" i="31"/>
  <c r="F425" i="31" s="1"/>
  <c r="E421" i="31"/>
  <c r="E425" i="31" s="1"/>
  <c r="D421" i="31"/>
  <c r="D425" i="31" s="1"/>
  <c r="N67" i="29"/>
  <c r="I67" i="29"/>
  <c r="H67" i="29"/>
  <c r="P64" i="29"/>
  <c r="J64" i="29"/>
  <c r="P547" i="29" l="1"/>
  <c r="P548" i="29" s="1"/>
  <c r="O547" i="29"/>
  <c r="O548" i="29" s="1"/>
  <c r="N547" i="29"/>
  <c r="N548" i="29" s="1"/>
  <c r="M547" i="29"/>
  <c r="M548" i="29" s="1"/>
  <c r="L547" i="29"/>
  <c r="L548" i="29" s="1"/>
  <c r="K547" i="29"/>
  <c r="K548" i="29" s="1"/>
  <c r="J547" i="29"/>
  <c r="J548" i="29" s="1"/>
  <c r="I547" i="29"/>
  <c r="I548" i="29" s="1"/>
  <c r="H547" i="29"/>
  <c r="H548" i="29" s="1"/>
  <c r="G547" i="29"/>
  <c r="G548" i="29" s="1"/>
  <c r="F547" i="29"/>
  <c r="F548" i="29" s="1"/>
  <c r="E547" i="29"/>
  <c r="E548" i="29" s="1"/>
  <c r="D547" i="29"/>
  <c r="D548" i="29" s="1"/>
  <c r="Q449" i="31" l="1"/>
  <c r="Q594" i="31" s="1"/>
  <c r="O241" i="31"/>
  <c r="O244" i="31" s="1"/>
  <c r="N241" i="31"/>
  <c r="N244" i="31" s="1"/>
  <c r="M241" i="31"/>
  <c r="M244" i="31" s="1"/>
  <c r="L241" i="31"/>
  <c r="L244" i="31" s="1"/>
  <c r="J241" i="31"/>
  <c r="J244" i="31" s="1"/>
  <c r="I241" i="31"/>
  <c r="I244" i="31" s="1"/>
  <c r="H241" i="31"/>
  <c r="H244" i="31" s="1"/>
  <c r="G241" i="31"/>
  <c r="G244" i="31" s="1"/>
  <c r="F241" i="31"/>
  <c r="F244" i="31" s="1"/>
  <c r="E241" i="31"/>
  <c r="E244" i="31" s="1"/>
  <c r="D241" i="31"/>
  <c r="D244" i="31" s="1"/>
  <c r="O216" i="31"/>
  <c r="O219" i="31" s="1"/>
  <c r="N216" i="31"/>
  <c r="N219" i="31" s="1"/>
  <c r="M216" i="31"/>
  <c r="M219" i="31" s="1"/>
  <c r="L216" i="31"/>
  <c r="L219" i="31" s="1"/>
  <c r="K216" i="31"/>
  <c r="K219" i="31" s="1"/>
  <c r="J216" i="31"/>
  <c r="J219" i="31" s="1"/>
  <c r="I216" i="31"/>
  <c r="I219" i="31" s="1"/>
  <c r="H216" i="31"/>
  <c r="H219" i="31" s="1"/>
  <c r="G216" i="31"/>
  <c r="G219" i="31" s="1"/>
  <c r="F216" i="31"/>
  <c r="F219" i="31" s="1"/>
  <c r="E216" i="31"/>
  <c r="E219" i="31" s="1"/>
  <c r="D216" i="31"/>
  <c r="D219" i="31" s="1"/>
  <c r="O194" i="31"/>
  <c r="O197" i="31" s="1"/>
  <c r="N194" i="31"/>
  <c r="N197" i="31" s="1"/>
  <c r="M194" i="31"/>
  <c r="M197" i="31" s="1"/>
  <c r="L194" i="31"/>
  <c r="L197" i="31" s="1"/>
  <c r="K194" i="31"/>
  <c r="K197" i="31" s="1"/>
  <c r="K584" i="31" s="1"/>
  <c r="J194" i="31"/>
  <c r="J197" i="31" s="1"/>
  <c r="I194" i="31"/>
  <c r="I197" i="31" s="1"/>
  <c r="H194" i="31"/>
  <c r="H197" i="31" s="1"/>
  <c r="G194" i="31"/>
  <c r="G197" i="31" s="1"/>
  <c r="F194" i="31"/>
  <c r="F197" i="31" s="1"/>
  <c r="E194" i="31"/>
  <c r="E197" i="31" s="1"/>
  <c r="D194" i="31"/>
  <c r="D197" i="31" s="1"/>
  <c r="G49" i="31" l="1"/>
  <c r="G52" i="31" s="1"/>
  <c r="F49" i="31"/>
  <c r="F52" i="31" s="1"/>
  <c r="E49" i="31"/>
  <c r="E52" i="31" s="1"/>
  <c r="D49" i="31"/>
  <c r="D52" i="31" s="1"/>
  <c r="O214" i="29" l="1"/>
  <c r="N214" i="29"/>
  <c r="M214" i="29"/>
  <c r="L214" i="29"/>
  <c r="K214" i="29"/>
  <c r="J214" i="29"/>
  <c r="I214" i="29"/>
  <c r="H214" i="29"/>
  <c r="G214" i="29"/>
  <c r="G217" i="29" s="1"/>
  <c r="F214" i="29"/>
  <c r="E214" i="29"/>
  <c r="D214" i="29"/>
  <c r="D217" i="29" s="1"/>
  <c r="N524" i="29"/>
  <c r="N525" i="29" s="1"/>
  <c r="M524" i="29"/>
  <c r="M525" i="29" s="1"/>
  <c r="K524" i="29"/>
  <c r="K525" i="29" s="1"/>
  <c r="I524" i="29"/>
  <c r="I525" i="29" s="1"/>
  <c r="H524" i="29"/>
  <c r="H525" i="29" s="1"/>
  <c r="D524" i="29"/>
  <c r="D525" i="29" s="1"/>
  <c r="O238" i="29"/>
  <c r="O241" i="29" s="1"/>
  <c r="N238" i="29"/>
  <c r="N241" i="29" s="1"/>
  <c r="M238" i="29"/>
  <c r="M241" i="29" s="1"/>
  <c r="L238" i="29"/>
  <c r="L241" i="29" s="1"/>
  <c r="J238" i="29"/>
  <c r="J241" i="29" s="1"/>
  <c r="I238" i="29"/>
  <c r="I241" i="29" s="1"/>
  <c r="H238" i="29"/>
  <c r="H241" i="29" s="1"/>
  <c r="G238" i="29"/>
  <c r="G241" i="29" s="1"/>
  <c r="F238" i="29"/>
  <c r="F241" i="29" s="1"/>
  <c r="E238" i="29"/>
  <c r="E241" i="29" s="1"/>
  <c r="D238" i="29"/>
  <c r="D241" i="29" s="1"/>
  <c r="O100" i="29"/>
  <c r="O101" i="29" s="1"/>
  <c r="N100" i="29"/>
  <c r="N101" i="29" s="1"/>
  <c r="M100" i="29"/>
  <c r="M101" i="29" s="1"/>
  <c r="L100" i="29"/>
  <c r="L101" i="29" s="1"/>
  <c r="K100" i="29"/>
  <c r="K101" i="29" s="1"/>
  <c r="J100" i="29"/>
  <c r="J101" i="29" s="1"/>
  <c r="I100" i="29"/>
  <c r="I101" i="29" s="1"/>
  <c r="H100" i="29"/>
  <c r="H101" i="29" s="1"/>
  <c r="F100" i="29"/>
  <c r="F101" i="29" s="1"/>
  <c r="E100" i="29"/>
  <c r="E101" i="29" s="1"/>
  <c r="D100" i="29"/>
  <c r="D101" i="29" s="1"/>
  <c r="K105" i="29" l="1"/>
  <c r="K110" i="29" s="1"/>
  <c r="J105" i="29"/>
  <c r="J110" i="29" s="1"/>
  <c r="I105" i="29"/>
  <c r="I110" i="29" s="1"/>
  <c r="O83" i="29"/>
  <c r="O87" i="29" s="1"/>
  <c r="O582" i="29" s="1"/>
  <c r="N83" i="29"/>
  <c r="N87" i="29" s="1"/>
  <c r="N582" i="29" s="1"/>
  <c r="M83" i="29"/>
  <c r="M87" i="29" s="1"/>
  <c r="M582" i="29" s="1"/>
  <c r="L83" i="29"/>
  <c r="L87" i="29" s="1"/>
  <c r="L582" i="29" s="1"/>
  <c r="K83" i="29"/>
  <c r="K87" i="29" s="1"/>
  <c r="K582" i="29" s="1"/>
  <c r="J83" i="29"/>
  <c r="J87" i="29" s="1"/>
  <c r="I83" i="29"/>
  <c r="I87" i="29" s="1"/>
  <c r="I582" i="29" s="1"/>
  <c r="H83" i="29"/>
  <c r="H87" i="29" s="1"/>
  <c r="H582" i="29" s="1"/>
  <c r="O28" i="29"/>
  <c r="O29" i="29" s="1"/>
  <c r="N28" i="29"/>
  <c r="N29" i="29" s="1"/>
  <c r="M28" i="29"/>
  <c r="M29" i="29" s="1"/>
  <c r="L28" i="29"/>
  <c r="L29" i="29" s="1"/>
  <c r="K28" i="29"/>
  <c r="K29" i="29" s="1"/>
  <c r="J28" i="29"/>
  <c r="J29" i="29" s="1"/>
  <c r="I28" i="29"/>
  <c r="I29" i="29" s="1"/>
  <c r="H28" i="29"/>
  <c r="H29" i="29" s="1"/>
  <c r="D28" i="29"/>
  <c r="D29" i="29" s="1"/>
  <c r="E28" i="29"/>
  <c r="E29" i="29" s="1"/>
  <c r="F28" i="29"/>
  <c r="F29" i="29" s="1"/>
  <c r="G28" i="29"/>
  <c r="G29" i="29" s="1"/>
  <c r="P409" i="29"/>
  <c r="O409" i="29"/>
  <c r="N409" i="29"/>
  <c r="M409" i="29"/>
  <c r="L409" i="29"/>
  <c r="K409" i="29"/>
  <c r="I409" i="29"/>
  <c r="H409" i="29"/>
  <c r="G409" i="29"/>
  <c r="F409" i="29"/>
  <c r="E409" i="29"/>
  <c r="D409" i="29"/>
  <c r="H414" i="29"/>
  <c r="H419" i="29" s="1"/>
  <c r="J414" i="29"/>
  <c r="J419" i="29" s="1"/>
  <c r="J592" i="29" s="1"/>
  <c r="K414" i="29"/>
  <c r="K419" i="29" s="1"/>
  <c r="L414" i="29"/>
  <c r="L419" i="29" s="1"/>
  <c r="M414" i="29"/>
  <c r="M419" i="29" s="1"/>
  <c r="N414" i="29"/>
  <c r="N419" i="29" s="1"/>
  <c r="O414" i="29"/>
  <c r="O419" i="29" s="1"/>
  <c r="H464" i="29"/>
  <c r="H468" i="29" s="1"/>
  <c r="H597" i="29" s="1"/>
  <c r="I464" i="29"/>
  <c r="I468" i="29" s="1"/>
  <c r="I597" i="29" s="1"/>
  <c r="J464" i="29"/>
  <c r="J468" i="29" s="1"/>
  <c r="J597" i="29" s="1"/>
  <c r="K464" i="29"/>
  <c r="K468" i="29" s="1"/>
  <c r="K597" i="29" s="1"/>
  <c r="L464" i="29"/>
  <c r="L468" i="29" s="1"/>
  <c r="L597" i="29" s="1"/>
  <c r="M464" i="29"/>
  <c r="M468" i="29" s="1"/>
  <c r="M597" i="29" s="1"/>
  <c r="N464" i="29"/>
  <c r="N468" i="29" s="1"/>
  <c r="N597" i="29" s="1"/>
  <c r="O464" i="29"/>
  <c r="O468" i="29" s="1"/>
  <c r="O597" i="29" s="1"/>
  <c r="P44" i="29"/>
  <c r="O44" i="29"/>
  <c r="O48" i="29" s="1"/>
  <c r="N44" i="29"/>
  <c r="N48" i="29" s="1"/>
  <c r="M44" i="29"/>
  <c r="M48" i="29" s="1"/>
  <c r="L44" i="29"/>
  <c r="L48" i="29" s="1"/>
  <c r="K44" i="29"/>
  <c r="K48" i="29" s="1"/>
  <c r="J44" i="29"/>
  <c r="H44" i="29"/>
  <c r="H48" i="29" s="1"/>
  <c r="G48" i="29"/>
  <c r="E48" i="29"/>
  <c r="J582" i="29" l="1"/>
  <c r="Q380" i="31"/>
  <c r="Q589" i="31" s="1"/>
  <c r="Q598" i="31" s="1"/>
  <c r="D82" i="29"/>
  <c r="D48" i="32" l="1"/>
  <c r="F48" i="32"/>
  <c r="H48" i="32"/>
  <c r="F503" i="29"/>
  <c r="F504" i="29" s="1"/>
  <c r="E503" i="29"/>
  <c r="E504" i="29" s="1"/>
  <c r="D503" i="29"/>
  <c r="D504" i="29" s="1"/>
  <c r="F414" i="29" l="1"/>
  <c r="F419" i="29" s="1"/>
  <c r="E414" i="29"/>
  <c r="E419" i="29" s="1"/>
  <c r="D414" i="29"/>
  <c r="D419" i="29" s="1"/>
  <c r="P164" i="29"/>
  <c r="P172" i="29" s="1"/>
  <c r="O164" i="29"/>
  <c r="O172" i="29" s="1"/>
  <c r="N164" i="29"/>
  <c r="N172" i="29" s="1"/>
  <c r="M164" i="29"/>
  <c r="M172" i="29" s="1"/>
  <c r="L164" i="29"/>
  <c r="L172" i="29" s="1"/>
  <c r="K164" i="29"/>
  <c r="K172" i="29" s="1"/>
  <c r="I164" i="29"/>
  <c r="I172" i="29" s="1"/>
  <c r="H164" i="29"/>
  <c r="H172" i="29" s="1"/>
  <c r="G164" i="29"/>
  <c r="G172" i="29" s="1"/>
  <c r="F164" i="29"/>
  <c r="F172" i="29" s="1"/>
  <c r="E164" i="29"/>
  <c r="E172" i="29" s="1"/>
  <c r="D164" i="29"/>
  <c r="D172" i="29" s="1"/>
  <c r="I10" i="34" l="1"/>
  <c r="I21" i="34"/>
  <c r="I32" i="34"/>
  <c r="I43" i="34"/>
  <c r="O56" i="35"/>
  <c r="N56" i="35"/>
  <c r="G56" i="35"/>
  <c r="E56" i="35"/>
  <c r="C56" i="35"/>
  <c r="Q55" i="35"/>
  <c r="P55" i="35"/>
  <c r="O55" i="35"/>
  <c r="N55" i="35"/>
  <c r="M55" i="35"/>
  <c r="L55" i="35"/>
  <c r="K55" i="35"/>
  <c r="J55" i="35"/>
  <c r="I55" i="35"/>
  <c r="G55" i="35"/>
  <c r="E55" i="35"/>
  <c r="C55" i="35"/>
  <c r="Q54" i="35"/>
  <c r="P54" i="35"/>
  <c r="O54" i="35"/>
  <c r="N54" i="35"/>
  <c r="M54" i="35"/>
  <c r="L54" i="35"/>
  <c r="K54" i="35"/>
  <c r="J54" i="35"/>
  <c r="I54" i="35"/>
  <c r="G54" i="35"/>
  <c r="E54" i="35"/>
  <c r="C54" i="35"/>
  <c r="O51" i="35"/>
  <c r="N51" i="35"/>
  <c r="G51" i="35"/>
  <c r="E51" i="35"/>
  <c r="C51" i="35"/>
  <c r="Q50" i="35"/>
  <c r="P50" i="35"/>
  <c r="O50" i="35"/>
  <c r="N50" i="35"/>
  <c r="M50" i="35"/>
  <c r="L50" i="35"/>
  <c r="K50" i="35"/>
  <c r="J50" i="35"/>
  <c r="I50" i="35"/>
  <c r="G50" i="35"/>
  <c r="E50" i="35"/>
  <c r="C50" i="35"/>
  <c r="Q49" i="35"/>
  <c r="P49" i="35"/>
  <c r="O49" i="35"/>
  <c r="N49" i="35"/>
  <c r="M49" i="35"/>
  <c r="L49" i="35"/>
  <c r="K49" i="35"/>
  <c r="J49" i="35"/>
  <c r="I49" i="35"/>
  <c r="G49" i="35"/>
  <c r="E49" i="35"/>
  <c r="C49" i="35"/>
  <c r="O39" i="35"/>
  <c r="N39" i="35"/>
  <c r="G39" i="35"/>
  <c r="E39" i="35"/>
  <c r="C39" i="35"/>
  <c r="Q38" i="35"/>
  <c r="P38" i="35"/>
  <c r="O38" i="35"/>
  <c r="N38" i="35"/>
  <c r="M38" i="35"/>
  <c r="L38" i="35"/>
  <c r="K38" i="35"/>
  <c r="J38" i="35"/>
  <c r="I38" i="35"/>
  <c r="G38" i="35"/>
  <c r="E38" i="35"/>
  <c r="C38" i="35"/>
  <c r="Q37" i="35"/>
  <c r="P37" i="35"/>
  <c r="O37" i="35"/>
  <c r="N37" i="35"/>
  <c r="M37" i="35"/>
  <c r="L37" i="35"/>
  <c r="K37" i="35"/>
  <c r="J37" i="35"/>
  <c r="I37" i="35"/>
  <c r="G37" i="35"/>
  <c r="E37" i="35"/>
  <c r="C37" i="35"/>
  <c r="O27" i="35"/>
  <c r="N27" i="35"/>
  <c r="G27" i="35"/>
  <c r="E27" i="35"/>
  <c r="C27" i="35"/>
  <c r="Q26" i="35"/>
  <c r="P26" i="35"/>
  <c r="O26" i="35"/>
  <c r="N26" i="35"/>
  <c r="M26" i="35"/>
  <c r="L26" i="35"/>
  <c r="K26" i="35"/>
  <c r="J26" i="35"/>
  <c r="I26" i="35"/>
  <c r="G26" i="35"/>
  <c r="E26" i="35"/>
  <c r="C26" i="35"/>
  <c r="Q25" i="35"/>
  <c r="P25" i="35"/>
  <c r="O25" i="35"/>
  <c r="N25" i="35"/>
  <c r="M25" i="35"/>
  <c r="L25" i="35"/>
  <c r="K25" i="35"/>
  <c r="J25" i="35"/>
  <c r="I25" i="35"/>
  <c r="G25" i="35"/>
  <c r="E25" i="35"/>
  <c r="C25" i="35"/>
  <c r="O15" i="35"/>
  <c r="N15" i="35"/>
  <c r="G15" i="35"/>
  <c r="E15" i="35"/>
  <c r="C15" i="35"/>
  <c r="Q14" i="35"/>
  <c r="P14" i="35"/>
  <c r="O14" i="35"/>
  <c r="N14" i="35"/>
  <c r="M14" i="35"/>
  <c r="L14" i="35"/>
  <c r="K14" i="35"/>
  <c r="J14" i="35"/>
  <c r="I14" i="35"/>
  <c r="G14" i="35"/>
  <c r="E14" i="35"/>
  <c r="C14" i="35"/>
  <c r="Q13" i="35"/>
  <c r="P13" i="35"/>
  <c r="O13" i="35"/>
  <c r="N13" i="35"/>
  <c r="M13" i="35"/>
  <c r="L13" i="35"/>
  <c r="K13" i="35"/>
  <c r="J13" i="35"/>
  <c r="I13" i="35"/>
  <c r="G13" i="35"/>
  <c r="E13" i="35"/>
  <c r="C13" i="35"/>
  <c r="Q48" i="35"/>
  <c r="P48" i="35"/>
  <c r="O48" i="35"/>
  <c r="N48" i="35"/>
  <c r="M48" i="35"/>
  <c r="L48" i="35"/>
  <c r="K48" i="35"/>
  <c r="J48" i="35"/>
  <c r="I48" i="35"/>
  <c r="G48" i="35"/>
  <c r="E48" i="35"/>
  <c r="C48" i="35"/>
  <c r="S46" i="35"/>
  <c r="S47" i="35" s="1"/>
  <c r="R46" i="35"/>
  <c r="R47" i="35" s="1"/>
  <c r="Q46" i="35"/>
  <c r="Q47" i="35" s="1"/>
  <c r="P46" i="35"/>
  <c r="P47" i="35" s="1"/>
  <c r="O46" i="35"/>
  <c r="O47" i="35" s="1"/>
  <c r="N46" i="35"/>
  <c r="N47" i="35" s="1"/>
  <c r="M46" i="35"/>
  <c r="M47" i="35" s="1"/>
  <c r="L46" i="35"/>
  <c r="L47" i="35" s="1"/>
  <c r="K46" i="35"/>
  <c r="K47" i="35" s="1"/>
  <c r="J46" i="35"/>
  <c r="J47" i="35" s="1"/>
  <c r="I46" i="35"/>
  <c r="I47" i="35" s="1"/>
  <c r="G46" i="35"/>
  <c r="G47" i="35" s="1"/>
  <c r="E46" i="35"/>
  <c r="E47" i="35" s="1"/>
  <c r="C46" i="35"/>
  <c r="C47" i="35" s="1"/>
  <c r="Q36" i="35"/>
  <c r="P36" i="35"/>
  <c r="O36" i="35"/>
  <c r="N36" i="35"/>
  <c r="M36" i="35"/>
  <c r="L36" i="35"/>
  <c r="K36" i="35"/>
  <c r="J36" i="35"/>
  <c r="I36" i="35"/>
  <c r="G36" i="35"/>
  <c r="E36" i="35"/>
  <c r="C36" i="35"/>
  <c r="S34" i="35"/>
  <c r="S35" i="35" s="1"/>
  <c r="R34" i="35"/>
  <c r="R35" i="35" s="1"/>
  <c r="Q34" i="35"/>
  <c r="Q35" i="35" s="1"/>
  <c r="P34" i="35"/>
  <c r="P35" i="35" s="1"/>
  <c r="O34" i="35"/>
  <c r="O35" i="35" s="1"/>
  <c r="N34" i="35"/>
  <c r="N35" i="35" s="1"/>
  <c r="M34" i="35"/>
  <c r="M35" i="35" s="1"/>
  <c r="L34" i="35"/>
  <c r="L35" i="35" s="1"/>
  <c r="K34" i="35"/>
  <c r="K35" i="35" s="1"/>
  <c r="J34" i="35"/>
  <c r="J35" i="35" s="1"/>
  <c r="I34" i="35"/>
  <c r="I35" i="35" s="1"/>
  <c r="G34" i="35"/>
  <c r="G35" i="35" s="1"/>
  <c r="E34" i="35"/>
  <c r="E35" i="35" s="1"/>
  <c r="C34" i="35"/>
  <c r="C35" i="35" s="1"/>
  <c r="Q24" i="35"/>
  <c r="P24" i="35"/>
  <c r="O24" i="35"/>
  <c r="N24" i="35"/>
  <c r="M24" i="35"/>
  <c r="L24" i="35"/>
  <c r="K24" i="35"/>
  <c r="J24" i="35"/>
  <c r="I24" i="35"/>
  <c r="G24" i="35"/>
  <c r="E24" i="35"/>
  <c r="C24" i="35"/>
  <c r="S22" i="35"/>
  <c r="S23" i="35" s="1"/>
  <c r="R22" i="35"/>
  <c r="R23" i="35" s="1"/>
  <c r="Q22" i="35"/>
  <c r="Q23" i="35" s="1"/>
  <c r="P22" i="35"/>
  <c r="P23" i="35" s="1"/>
  <c r="O22" i="35"/>
  <c r="O23" i="35" s="1"/>
  <c r="N22" i="35"/>
  <c r="N23" i="35" s="1"/>
  <c r="M22" i="35"/>
  <c r="M23" i="35" s="1"/>
  <c r="L22" i="35"/>
  <c r="L23" i="35" s="1"/>
  <c r="K22" i="35"/>
  <c r="K23" i="35" s="1"/>
  <c r="J22" i="35"/>
  <c r="J23" i="35" s="1"/>
  <c r="I22" i="35"/>
  <c r="I23" i="35" s="1"/>
  <c r="G22" i="35"/>
  <c r="G23" i="35" s="1"/>
  <c r="E22" i="35"/>
  <c r="E23" i="35" s="1"/>
  <c r="C22" i="35"/>
  <c r="C23" i="35" s="1"/>
  <c r="Q12" i="35"/>
  <c r="P12" i="35"/>
  <c r="O12" i="35"/>
  <c r="N12" i="35"/>
  <c r="M12" i="35"/>
  <c r="L12" i="35"/>
  <c r="K12" i="35"/>
  <c r="J12" i="35"/>
  <c r="I12" i="35"/>
  <c r="G12" i="35"/>
  <c r="E12" i="35"/>
  <c r="C12" i="35"/>
  <c r="S10" i="35"/>
  <c r="R10" i="35"/>
  <c r="Q10" i="35"/>
  <c r="P10" i="35"/>
  <c r="O10" i="35"/>
  <c r="N10" i="35"/>
  <c r="M10" i="35"/>
  <c r="L10" i="35"/>
  <c r="K10" i="35"/>
  <c r="J10" i="35"/>
  <c r="I10" i="35"/>
  <c r="G10" i="35"/>
  <c r="E10" i="35"/>
  <c r="C10" i="35"/>
  <c r="O52" i="34"/>
  <c r="N52" i="34"/>
  <c r="G52" i="34"/>
  <c r="E52" i="34"/>
  <c r="C52" i="34"/>
  <c r="Q51" i="34"/>
  <c r="P51" i="34"/>
  <c r="O51" i="34"/>
  <c r="N51" i="34"/>
  <c r="M51" i="34"/>
  <c r="L51" i="34"/>
  <c r="K51" i="34"/>
  <c r="J51" i="34"/>
  <c r="I51" i="34"/>
  <c r="G51" i="34"/>
  <c r="E51" i="34"/>
  <c r="C51" i="34"/>
  <c r="Q50" i="34"/>
  <c r="P50" i="34"/>
  <c r="O50" i="34"/>
  <c r="N50" i="34"/>
  <c r="M50" i="34"/>
  <c r="L50" i="34"/>
  <c r="K50" i="34"/>
  <c r="J50" i="34"/>
  <c r="I50" i="34"/>
  <c r="G50" i="34"/>
  <c r="E50" i="34"/>
  <c r="C50" i="34"/>
  <c r="O47" i="34"/>
  <c r="N47" i="34"/>
  <c r="G47" i="34"/>
  <c r="E47" i="34"/>
  <c r="C47" i="34"/>
  <c r="Q46" i="34"/>
  <c r="P46" i="34"/>
  <c r="O46" i="34"/>
  <c r="N46" i="34"/>
  <c r="M46" i="34"/>
  <c r="L46" i="34"/>
  <c r="K46" i="34"/>
  <c r="J46" i="34"/>
  <c r="I46" i="34"/>
  <c r="G46" i="34"/>
  <c r="E46" i="34"/>
  <c r="C46" i="34"/>
  <c r="Q45" i="34"/>
  <c r="P45" i="34"/>
  <c r="O45" i="34"/>
  <c r="N45" i="34"/>
  <c r="M45" i="34"/>
  <c r="L45" i="34"/>
  <c r="K45" i="34"/>
  <c r="J45" i="34"/>
  <c r="I45" i="34"/>
  <c r="G45" i="34"/>
  <c r="E45" i="34"/>
  <c r="C45" i="34"/>
  <c r="O36" i="34"/>
  <c r="N36" i="34"/>
  <c r="G36" i="34"/>
  <c r="E36" i="34"/>
  <c r="C36" i="34"/>
  <c r="Q35" i="34"/>
  <c r="P35" i="34"/>
  <c r="O35" i="34"/>
  <c r="N35" i="34"/>
  <c r="M35" i="34"/>
  <c r="L35" i="34"/>
  <c r="K35" i="34"/>
  <c r="J35" i="34"/>
  <c r="I35" i="34"/>
  <c r="G35" i="34"/>
  <c r="E35" i="34"/>
  <c r="C35" i="34"/>
  <c r="Q34" i="34"/>
  <c r="P34" i="34"/>
  <c r="O34" i="34"/>
  <c r="N34" i="34"/>
  <c r="M34" i="34"/>
  <c r="L34" i="34"/>
  <c r="K34" i="34"/>
  <c r="J34" i="34"/>
  <c r="I34" i="34"/>
  <c r="G34" i="34"/>
  <c r="E34" i="34"/>
  <c r="C34" i="34"/>
  <c r="O14" i="34"/>
  <c r="N14" i="34"/>
  <c r="G14" i="34"/>
  <c r="E14" i="34"/>
  <c r="C14" i="34"/>
  <c r="Q13" i="34"/>
  <c r="P13" i="34"/>
  <c r="O13" i="34"/>
  <c r="N13" i="34"/>
  <c r="M13" i="34"/>
  <c r="L13" i="34"/>
  <c r="K13" i="34"/>
  <c r="J13" i="34"/>
  <c r="I13" i="34"/>
  <c r="G13" i="34"/>
  <c r="E13" i="34"/>
  <c r="C13" i="34"/>
  <c r="Q12" i="34"/>
  <c r="P12" i="34"/>
  <c r="O12" i="34"/>
  <c r="N12" i="34"/>
  <c r="M12" i="34"/>
  <c r="L12" i="34"/>
  <c r="K12" i="34"/>
  <c r="J12" i="34"/>
  <c r="I12" i="34"/>
  <c r="G12" i="34"/>
  <c r="E12" i="34"/>
  <c r="C12" i="34"/>
  <c r="Q23" i="34"/>
  <c r="P23" i="34"/>
  <c r="O23" i="34"/>
  <c r="N23" i="34"/>
  <c r="M23" i="34"/>
  <c r="L23" i="34"/>
  <c r="K23" i="34"/>
  <c r="J23" i="34"/>
  <c r="G23" i="34"/>
  <c r="E23" i="34"/>
  <c r="C23" i="34"/>
  <c r="Q24" i="34"/>
  <c r="P24" i="34"/>
  <c r="O24" i="34"/>
  <c r="N24" i="34"/>
  <c r="M24" i="34"/>
  <c r="L24" i="34"/>
  <c r="K24" i="34"/>
  <c r="J24" i="34"/>
  <c r="G24" i="34"/>
  <c r="E24" i="34"/>
  <c r="C24" i="34"/>
  <c r="I24" i="34"/>
  <c r="I23" i="34"/>
  <c r="C52" i="35" l="1"/>
  <c r="C11" i="35"/>
  <c r="E52" i="35"/>
  <c r="E11" i="35"/>
  <c r="G52" i="35"/>
  <c r="G11" i="35"/>
  <c r="I52" i="35"/>
  <c r="I53" i="35" s="1"/>
  <c r="I11" i="35"/>
  <c r="K52" i="35"/>
  <c r="K53" i="35" s="1"/>
  <c r="K11" i="35"/>
  <c r="M52" i="35"/>
  <c r="M53" i="35" s="1"/>
  <c r="M11" i="35"/>
  <c r="O52" i="35"/>
  <c r="O53" i="35" s="1"/>
  <c r="O11" i="35"/>
  <c r="Q52" i="35"/>
  <c r="Q53" i="35" s="1"/>
  <c r="Q11" i="35"/>
  <c r="S52" i="35"/>
  <c r="S53" i="35" s="1"/>
  <c r="S11" i="35"/>
  <c r="J52" i="35"/>
  <c r="J53" i="35" s="1"/>
  <c r="J11" i="35"/>
  <c r="L52" i="35"/>
  <c r="L53" i="35" s="1"/>
  <c r="L11" i="35"/>
  <c r="N52" i="35"/>
  <c r="N53" i="35" s="1"/>
  <c r="N11" i="35"/>
  <c r="P52" i="35"/>
  <c r="P53" i="35" s="1"/>
  <c r="P11" i="35"/>
  <c r="R52" i="35"/>
  <c r="R53" i="35" s="1"/>
  <c r="R11" i="35"/>
  <c r="C12" i="32"/>
  <c r="E12" i="32"/>
  <c r="G12" i="32"/>
  <c r="I12" i="32"/>
  <c r="J12" i="32"/>
  <c r="K12" i="32"/>
  <c r="L12" i="32"/>
  <c r="M12" i="32"/>
  <c r="N12" i="32"/>
  <c r="O12" i="32"/>
  <c r="P12" i="32"/>
  <c r="Q12" i="32"/>
  <c r="C13" i="32"/>
  <c r="E13" i="32"/>
  <c r="G13" i="32"/>
  <c r="I13" i="32"/>
  <c r="J13" i="32"/>
  <c r="K13" i="32"/>
  <c r="L13" i="32"/>
  <c r="M13" i="32"/>
  <c r="N13" i="32"/>
  <c r="O13" i="32"/>
  <c r="P13" i="32"/>
  <c r="Q13" i="32"/>
  <c r="G53" i="35" l="1"/>
  <c r="E53" i="35"/>
  <c r="C53" i="35"/>
  <c r="P492" i="31" l="1"/>
  <c r="P496" i="31" s="1"/>
  <c r="O492" i="31"/>
  <c r="O496" i="31" s="1"/>
  <c r="N492" i="31"/>
  <c r="N496" i="31" s="1"/>
  <c r="L492" i="31"/>
  <c r="L496" i="31" s="1"/>
  <c r="J492" i="31"/>
  <c r="J496" i="31" s="1"/>
  <c r="I492" i="31"/>
  <c r="I496" i="31" s="1"/>
  <c r="H492" i="31"/>
  <c r="H496" i="31" s="1"/>
  <c r="G492" i="31"/>
  <c r="G496" i="31" s="1"/>
  <c r="F492" i="31"/>
  <c r="F496" i="31" s="1"/>
  <c r="E492" i="31"/>
  <c r="E496" i="31" s="1"/>
  <c r="D492" i="31"/>
  <c r="D496" i="31" s="1"/>
  <c r="P496" i="29"/>
  <c r="P500" i="29" s="1"/>
  <c r="O496" i="29"/>
  <c r="O500" i="29" s="1"/>
  <c r="N496" i="29"/>
  <c r="N500" i="29" s="1"/>
  <c r="L496" i="29"/>
  <c r="L500" i="29" s="1"/>
  <c r="J496" i="29"/>
  <c r="J500" i="29" s="1"/>
  <c r="I496" i="29"/>
  <c r="I500" i="29" s="1"/>
  <c r="H496" i="29"/>
  <c r="H500" i="29" s="1"/>
  <c r="G496" i="29"/>
  <c r="G500" i="29" s="1"/>
  <c r="F496" i="29"/>
  <c r="F500" i="29" s="1"/>
  <c r="E496" i="29"/>
  <c r="E500" i="29" s="1"/>
  <c r="D496" i="29"/>
  <c r="D500" i="29" s="1"/>
  <c r="O480" i="29"/>
  <c r="O481" i="29" s="1"/>
  <c r="N480" i="29"/>
  <c r="N481" i="29" s="1"/>
  <c r="M480" i="29"/>
  <c r="M481" i="29" s="1"/>
  <c r="L480" i="29"/>
  <c r="L481" i="29" s="1"/>
  <c r="K480" i="29"/>
  <c r="K481" i="29" s="1"/>
  <c r="J480" i="29"/>
  <c r="J481" i="29" s="1"/>
  <c r="I480" i="29"/>
  <c r="I481" i="29" s="1"/>
  <c r="H480" i="29"/>
  <c r="H481" i="29" s="1"/>
  <c r="G480" i="29"/>
  <c r="G481" i="29" s="1"/>
  <c r="F480" i="29"/>
  <c r="F481" i="29" s="1"/>
  <c r="E480" i="29"/>
  <c r="E481" i="29" s="1"/>
  <c r="D480" i="29"/>
  <c r="D481" i="29" s="1"/>
  <c r="Q571" i="31" l="1"/>
  <c r="O384" i="29" l="1"/>
  <c r="O386" i="29" s="1"/>
  <c r="N384" i="29"/>
  <c r="N386" i="29" s="1"/>
  <c r="M384" i="29"/>
  <c r="M386" i="29" s="1"/>
  <c r="L384" i="29"/>
  <c r="L386" i="29" s="1"/>
  <c r="K384" i="29"/>
  <c r="K386" i="29" s="1"/>
  <c r="J384" i="29"/>
  <c r="J386" i="29" s="1"/>
  <c r="I384" i="29"/>
  <c r="I386" i="29" s="1"/>
  <c r="H384" i="29"/>
  <c r="H386" i="29" s="1"/>
  <c r="G384" i="29"/>
  <c r="G386" i="29" s="1"/>
  <c r="F384" i="29"/>
  <c r="F386" i="29" s="1"/>
  <c r="E384" i="29"/>
  <c r="E386" i="29" s="1"/>
  <c r="D384" i="29"/>
  <c r="D386" i="29" s="1"/>
  <c r="O307" i="31" l="1"/>
  <c r="O312" i="31" s="1"/>
  <c r="N307" i="31"/>
  <c r="N312" i="31" s="1"/>
  <c r="M307" i="31"/>
  <c r="M312" i="31" s="1"/>
  <c r="L307" i="31"/>
  <c r="L312" i="31" s="1"/>
  <c r="K307" i="31"/>
  <c r="K312" i="31" s="1"/>
  <c r="J307" i="31"/>
  <c r="J312" i="31" s="1"/>
  <c r="I307" i="31"/>
  <c r="I312" i="31" s="1"/>
  <c r="H307" i="31"/>
  <c r="H312" i="31" s="1"/>
  <c r="P298" i="29"/>
  <c r="P300" i="29" s="1"/>
  <c r="P592" i="29" s="1"/>
  <c r="O298" i="29"/>
  <c r="O300" i="29" s="1"/>
  <c r="O592" i="29" s="1"/>
  <c r="N298" i="29"/>
  <c r="N300" i="29" s="1"/>
  <c r="N592" i="29" s="1"/>
  <c r="M298" i="29"/>
  <c r="M300" i="29" s="1"/>
  <c r="M592" i="29" s="1"/>
  <c r="L298" i="29"/>
  <c r="L300" i="29" s="1"/>
  <c r="L592" i="29" s="1"/>
  <c r="K298" i="29"/>
  <c r="K300" i="29" s="1"/>
  <c r="K592" i="29" s="1"/>
  <c r="I298" i="29"/>
  <c r="I300" i="29" s="1"/>
  <c r="I592" i="29" s="1"/>
  <c r="H298" i="29"/>
  <c r="H300" i="29" s="1"/>
  <c r="H592" i="29" s="1"/>
  <c r="G298" i="29"/>
  <c r="G300" i="29" s="1"/>
  <c r="G592" i="29" s="1"/>
  <c r="F298" i="29"/>
  <c r="F300" i="29" s="1"/>
  <c r="F592" i="29" s="1"/>
  <c r="E298" i="29"/>
  <c r="E300" i="29" s="1"/>
  <c r="E592" i="29" s="1"/>
  <c r="D298" i="29"/>
  <c r="D300" i="29" s="1"/>
  <c r="O279" i="29" l="1"/>
  <c r="N279" i="29"/>
  <c r="M279" i="29"/>
  <c r="L279" i="29"/>
  <c r="K279" i="29"/>
  <c r="K286" i="29" s="1"/>
  <c r="I279" i="29"/>
  <c r="H279" i="29"/>
  <c r="P276" i="29"/>
  <c r="O276" i="29"/>
  <c r="L276" i="29"/>
  <c r="K276" i="29"/>
  <c r="J276" i="29"/>
  <c r="I276" i="29"/>
  <c r="H276" i="29"/>
  <c r="G276" i="29"/>
  <c r="F276" i="29"/>
  <c r="E276" i="29"/>
  <c r="D276" i="29"/>
  <c r="P43" i="29"/>
  <c r="P48" i="29" s="1"/>
  <c r="J43" i="29"/>
  <c r="J48" i="29" s="1"/>
  <c r="F43" i="29"/>
  <c r="F48" i="29" s="1"/>
  <c r="D43" i="29"/>
  <c r="D48" i="29" s="1"/>
  <c r="F203" i="29" l="1"/>
  <c r="F208" i="29" s="1"/>
  <c r="E208" i="29"/>
  <c r="D203" i="29"/>
  <c r="D208" i="29" s="1"/>
  <c r="O180" i="29"/>
  <c r="O186" i="29" s="1"/>
  <c r="N180" i="29"/>
  <c r="N186" i="29" s="1"/>
  <c r="M180" i="29"/>
  <c r="M186" i="29" s="1"/>
  <c r="L180" i="29"/>
  <c r="L186" i="29" s="1"/>
  <c r="K180" i="29"/>
  <c r="K186" i="29" s="1"/>
  <c r="J180" i="29"/>
  <c r="J186" i="29" s="1"/>
  <c r="I180" i="29"/>
  <c r="I186" i="29" s="1"/>
  <c r="F118" i="31" l="1"/>
  <c r="E118" i="31"/>
  <c r="D118" i="31"/>
  <c r="P113" i="29"/>
  <c r="O113" i="29"/>
  <c r="N113" i="29"/>
  <c r="M113" i="29"/>
  <c r="L113" i="29"/>
  <c r="K113" i="29"/>
  <c r="K120" i="29" s="1"/>
  <c r="J113" i="29"/>
  <c r="I113" i="29"/>
  <c r="H113" i="29"/>
  <c r="G113" i="29"/>
  <c r="F113" i="29"/>
  <c r="E113" i="29"/>
  <c r="D113" i="29"/>
  <c r="G83" i="29"/>
  <c r="G87" i="29" s="1"/>
  <c r="G582" i="29" s="1"/>
  <c r="F83" i="29"/>
  <c r="F87" i="29" s="1"/>
  <c r="F582" i="29" s="1"/>
  <c r="E83" i="29"/>
  <c r="E87" i="29" s="1"/>
  <c r="E582" i="29" s="1"/>
  <c r="D83" i="29"/>
  <c r="D87" i="29" s="1"/>
  <c r="D56" i="29"/>
  <c r="D61" i="29" s="1"/>
  <c r="Q106" i="31" l="1"/>
  <c r="D249" i="29" l="1"/>
  <c r="D254" i="29" s="1"/>
  <c r="P540" i="31" l="1"/>
  <c r="P543" i="31" s="1"/>
  <c r="O540" i="31"/>
  <c r="O543" i="31" s="1"/>
  <c r="N540" i="31"/>
  <c r="N543" i="31" s="1"/>
  <c r="M540" i="31"/>
  <c r="M543" i="31" s="1"/>
  <c r="L540" i="31"/>
  <c r="L543" i="31" s="1"/>
  <c r="K540" i="31"/>
  <c r="K543" i="31" s="1"/>
  <c r="J540" i="31"/>
  <c r="J543" i="31" s="1"/>
  <c r="I540" i="31"/>
  <c r="I543" i="31" s="1"/>
  <c r="H540" i="31"/>
  <c r="H543" i="31" s="1"/>
  <c r="G540" i="31"/>
  <c r="G543" i="31" s="1"/>
  <c r="F540" i="31"/>
  <c r="F543" i="31" s="1"/>
  <c r="E540" i="31"/>
  <c r="E543" i="31" s="1"/>
  <c r="D540" i="31"/>
  <c r="D543" i="31" s="1"/>
  <c r="P515" i="31"/>
  <c r="P518" i="31" s="1"/>
  <c r="O515" i="31"/>
  <c r="O518" i="31" s="1"/>
  <c r="N515" i="31"/>
  <c r="N518" i="31" s="1"/>
  <c r="M515" i="31"/>
  <c r="M518" i="31" s="1"/>
  <c r="L515" i="31"/>
  <c r="L518" i="31" s="1"/>
  <c r="J515" i="31"/>
  <c r="J518" i="31" s="1"/>
  <c r="I515" i="31"/>
  <c r="I518" i="31" s="1"/>
  <c r="H515" i="31"/>
  <c r="H518" i="31" s="1"/>
  <c r="G515" i="31"/>
  <c r="G518" i="31" s="1"/>
  <c r="F515" i="31"/>
  <c r="F518" i="31" s="1"/>
  <c r="E515" i="31"/>
  <c r="E518" i="31" s="1"/>
  <c r="D515" i="31"/>
  <c r="D518" i="31" s="1"/>
  <c r="P469" i="31"/>
  <c r="P472" i="31" s="1"/>
  <c r="O469" i="31"/>
  <c r="O472" i="31" s="1"/>
  <c r="N469" i="31"/>
  <c r="N472" i="31" s="1"/>
  <c r="M469" i="31"/>
  <c r="M472" i="31" s="1"/>
  <c r="L469" i="31"/>
  <c r="L472" i="31" s="1"/>
  <c r="K469" i="31"/>
  <c r="K472" i="31" s="1"/>
  <c r="J469" i="31"/>
  <c r="J472" i="31" s="1"/>
  <c r="I469" i="31"/>
  <c r="I472" i="31" s="1"/>
  <c r="H469" i="31"/>
  <c r="H472" i="31" s="1"/>
  <c r="G469" i="31"/>
  <c r="G472" i="31" s="1"/>
  <c r="F469" i="31"/>
  <c r="F472" i="31" s="1"/>
  <c r="E469" i="31"/>
  <c r="E472" i="31" s="1"/>
  <c r="D469" i="31"/>
  <c r="D472" i="31" s="1"/>
  <c r="P446" i="31"/>
  <c r="O446" i="31"/>
  <c r="N446" i="31"/>
  <c r="M446" i="31"/>
  <c r="L446" i="31"/>
  <c r="K446" i="31"/>
  <c r="J446" i="31"/>
  <c r="I446" i="31"/>
  <c r="H446" i="31"/>
  <c r="G446" i="31"/>
  <c r="F446" i="31"/>
  <c r="E446" i="31"/>
  <c r="D446" i="31"/>
  <c r="O377" i="31"/>
  <c r="N377" i="31"/>
  <c r="M377" i="31"/>
  <c r="L377" i="31"/>
  <c r="J377" i="31"/>
  <c r="I377" i="31"/>
  <c r="H377" i="31"/>
  <c r="G377" i="31"/>
  <c r="F377" i="31"/>
  <c r="E377" i="31"/>
  <c r="D377" i="31"/>
  <c r="P356" i="31"/>
  <c r="P360" i="31" s="1"/>
  <c r="O356" i="31"/>
  <c r="O360" i="31" s="1"/>
  <c r="N356" i="31"/>
  <c r="N360" i="31" s="1"/>
  <c r="L356" i="31"/>
  <c r="L360" i="31" s="1"/>
  <c r="J356" i="31"/>
  <c r="J360" i="31" s="1"/>
  <c r="I356" i="31"/>
  <c r="I360" i="31" s="1"/>
  <c r="H356" i="31"/>
  <c r="H360" i="31" s="1"/>
  <c r="G356" i="31"/>
  <c r="G360" i="31" s="1"/>
  <c r="F356" i="31"/>
  <c r="F360" i="31" s="1"/>
  <c r="E356" i="31"/>
  <c r="E360" i="31" s="1"/>
  <c r="D356" i="31"/>
  <c r="D360" i="31" s="1"/>
  <c r="O332" i="31"/>
  <c r="O335" i="31" s="1"/>
  <c r="N332" i="31"/>
  <c r="N335" i="31" s="1"/>
  <c r="M332" i="31"/>
  <c r="M335" i="31" s="1"/>
  <c r="L332" i="31"/>
  <c r="L335" i="31" s="1"/>
  <c r="K332" i="31"/>
  <c r="K335" i="31" s="1"/>
  <c r="J332" i="31"/>
  <c r="I332" i="31"/>
  <c r="I335" i="31" s="1"/>
  <c r="H332" i="31"/>
  <c r="G332" i="31"/>
  <c r="G335" i="31" s="1"/>
  <c r="F332" i="31"/>
  <c r="E332" i="31"/>
  <c r="E335" i="31" s="1"/>
  <c r="D332" i="31"/>
  <c r="P286" i="31"/>
  <c r="P289" i="31" s="1"/>
  <c r="P584" i="31" s="1"/>
  <c r="O286" i="31"/>
  <c r="O289" i="31" s="1"/>
  <c r="O584" i="31" s="1"/>
  <c r="N286" i="31"/>
  <c r="N289" i="31" s="1"/>
  <c r="N584" i="31" s="1"/>
  <c r="M286" i="31"/>
  <c r="M289" i="31" s="1"/>
  <c r="M584" i="31" s="1"/>
  <c r="L286" i="31"/>
  <c r="L289" i="31" s="1"/>
  <c r="L584" i="31" s="1"/>
  <c r="J286" i="31"/>
  <c r="J289" i="31" s="1"/>
  <c r="J584" i="31" s="1"/>
  <c r="I286" i="31"/>
  <c r="I289" i="31" s="1"/>
  <c r="I584" i="31" s="1"/>
  <c r="H286" i="31"/>
  <c r="H289" i="31" s="1"/>
  <c r="H584" i="31" s="1"/>
  <c r="G286" i="31"/>
  <c r="G289" i="31" s="1"/>
  <c r="G584" i="31" s="1"/>
  <c r="F286" i="31"/>
  <c r="F289" i="31" s="1"/>
  <c r="F584" i="31" s="1"/>
  <c r="E286" i="31"/>
  <c r="E289" i="31" s="1"/>
  <c r="E584" i="31" s="1"/>
  <c r="D286" i="31"/>
  <c r="D289" i="31" s="1"/>
  <c r="D335" i="31" l="1"/>
  <c r="F335" i="31"/>
  <c r="H335" i="31"/>
  <c r="J335" i="31"/>
  <c r="D449" i="31"/>
  <c r="F449" i="31"/>
  <c r="F594" i="31" s="1"/>
  <c r="H449" i="31"/>
  <c r="H594" i="31" s="1"/>
  <c r="E449" i="31"/>
  <c r="E594" i="31" s="1"/>
  <c r="G449" i="31"/>
  <c r="G594" i="31" s="1"/>
  <c r="I449" i="31"/>
  <c r="I594" i="31" s="1"/>
  <c r="K449" i="31"/>
  <c r="K594" i="31" s="1"/>
  <c r="M449" i="31"/>
  <c r="M594" i="31" s="1"/>
  <c r="O449" i="31"/>
  <c r="O594" i="31" s="1"/>
  <c r="J449" i="31"/>
  <c r="J594" i="31" s="1"/>
  <c r="L449" i="31"/>
  <c r="L594" i="31" s="1"/>
  <c r="N449" i="31"/>
  <c r="N594" i="31" s="1"/>
  <c r="P449" i="31"/>
  <c r="P594" i="31" s="1"/>
  <c r="J380" i="31"/>
  <c r="P380" i="31"/>
  <c r="P589" i="31" s="1"/>
  <c r="N380" i="31"/>
  <c r="N589" i="31" s="1"/>
  <c r="L380" i="31"/>
  <c r="L589" i="31" s="1"/>
  <c r="I380" i="31"/>
  <c r="I589" i="31" s="1"/>
  <c r="H380" i="31"/>
  <c r="G380" i="31"/>
  <c r="G589" i="31" s="1"/>
  <c r="F380" i="31"/>
  <c r="E380" i="31"/>
  <c r="E589" i="31" s="1"/>
  <c r="D380" i="31"/>
  <c r="P97" i="31"/>
  <c r="P101" i="31" s="1"/>
  <c r="O97" i="31"/>
  <c r="O101" i="31" s="1"/>
  <c r="N97" i="31"/>
  <c r="N101" i="31" s="1"/>
  <c r="L97" i="31"/>
  <c r="L101" i="31" s="1"/>
  <c r="J97" i="31"/>
  <c r="J101" i="31" s="1"/>
  <c r="I97" i="31"/>
  <c r="I101" i="31" s="1"/>
  <c r="H97" i="31"/>
  <c r="H101" i="31" s="1"/>
  <c r="G97" i="31"/>
  <c r="G101" i="31" s="1"/>
  <c r="F97" i="31"/>
  <c r="F101" i="31" s="1"/>
  <c r="E97" i="31"/>
  <c r="E101" i="31" s="1"/>
  <c r="D97" i="31"/>
  <c r="D101" i="31" s="1"/>
  <c r="P71" i="31"/>
  <c r="P74" i="31" s="1"/>
  <c r="O71" i="31"/>
  <c r="O74" i="31" s="1"/>
  <c r="N71" i="31"/>
  <c r="N74" i="31" s="1"/>
  <c r="M71" i="31"/>
  <c r="M74" i="31" s="1"/>
  <c r="L71" i="31"/>
  <c r="L74" i="31" s="1"/>
  <c r="K71" i="31"/>
  <c r="K74" i="31" s="1"/>
  <c r="K579" i="31" s="1"/>
  <c r="J71" i="31"/>
  <c r="J74" i="31" s="1"/>
  <c r="I71" i="31"/>
  <c r="I74" i="31" s="1"/>
  <c r="H71" i="31"/>
  <c r="H74" i="31" s="1"/>
  <c r="G71" i="31"/>
  <c r="G74" i="31" s="1"/>
  <c r="F71" i="31"/>
  <c r="F74" i="31" s="1"/>
  <c r="E71" i="31"/>
  <c r="E74" i="31" s="1"/>
  <c r="D71" i="31"/>
  <c r="D74" i="31" s="1"/>
  <c r="P121" i="31"/>
  <c r="P124" i="31" s="1"/>
  <c r="O121" i="31"/>
  <c r="O124" i="31" s="1"/>
  <c r="N121" i="31"/>
  <c r="N124" i="31" s="1"/>
  <c r="M121" i="31"/>
  <c r="M124" i="31" s="1"/>
  <c r="L121" i="31"/>
  <c r="L124" i="31" s="1"/>
  <c r="J121" i="31"/>
  <c r="J124" i="31" s="1"/>
  <c r="I121" i="31"/>
  <c r="I124" i="31" s="1"/>
  <c r="H121" i="31"/>
  <c r="H124" i="31" s="1"/>
  <c r="G121" i="31"/>
  <c r="G124" i="31" s="1"/>
  <c r="F121" i="31"/>
  <c r="F124" i="31" s="1"/>
  <c r="E121" i="31"/>
  <c r="E124" i="31" s="1"/>
  <c r="D121" i="31"/>
  <c r="D124" i="31" s="1"/>
  <c r="F579" i="31" l="1"/>
  <c r="H579" i="31"/>
  <c r="J579" i="31"/>
  <c r="L579" i="31"/>
  <c r="L598" i="31" s="1"/>
  <c r="N579" i="31"/>
  <c r="N598" i="31" s="1"/>
  <c r="P579" i="31"/>
  <c r="P598" i="31" s="1"/>
  <c r="H589" i="31"/>
  <c r="E579" i="31"/>
  <c r="E598" i="31" s="1"/>
  <c r="G579" i="31"/>
  <c r="G598" i="31" s="1"/>
  <c r="I579" i="31"/>
  <c r="I598" i="31" s="1"/>
  <c r="M579" i="31"/>
  <c r="O579" i="31"/>
  <c r="J589" i="31"/>
  <c r="F589" i="31"/>
  <c r="E106" i="31"/>
  <c r="L106" i="31"/>
  <c r="H106" i="31"/>
  <c r="J106" i="31"/>
  <c r="K106" i="31"/>
  <c r="M106" i="31"/>
  <c r="G106" i="31"/>
  <c r="K380" i="31"/>
  <c r="K589" i="31" s="1"/>
  <c r="K598" i="31" s="1"/>
  <c r="M380" i="31"/>
  <c r="M589" i="31" s="1"/>
  <c r="O380" i="31"/>
  <c r="O589" i="31" s="1"/>
  <c r="M598" i="31" l="1"/>
  <c r="H598" i="31"/>
  <c r="O598" i="31"/>
  <c r="J598" i="31"/>
  <c r="F598" i="31"/>
  <c r="P106" i="31"/>
  <c r="N106" i="31"/>
  <c r="O106" i="31"/>
  <c r="P541" i="29"/>
  <c r="P544" i="29" s="1"/>
  <c r="O541" i="29"/>
  <c r="O544" i="29" s="1"/>
  <c r="N541" i="29"/>
  <c r="N544" i="29" s="1"/>
  <c r="M541" i="29"/>
  <c r="M544" i="29" s="1"/>
  <c r="L541" i="29"/>
  <c r="L544" i="29" s="1"/>
  <c r="K541" i="29"/>
  <c r="K544" i="29" s="1"/>
  <c r="J541" i="29"/>
  <c r="J544" i="29" s="1"/>
  <c r="I541" i="29"/>
  <c r="I544" i="29" s="1"/>
  <c r="H541" i="29"/>
  <c r="H544" i="29" s="1"/>
  <c r="G541" i="29"/>
  <c r="G544" i="29" s="1"/>
  <c r="F541" i="29"/>
  <c r="F544" i="29" s="1"/>
  <c r="E541" i="29"/>
  <c r="E544" i="29" s="1"/>
  <c r="D541" i="29"/>
  <c r="D544" i="29" s="1"/>
  <c r="P518" i="29"/>
  <c r="P521" i="29" s="1"/>
  <c r="O518" i="29"/>
  <c r="O521" i="29" s="1"/>
  <c r="N518" i="29"/>
  <c r="N521" i="29" s="1"/>
  <c r="M518" i="29"/>
  <c r="M521" i="29" s="1"/>
  <c r="L518" i="29"/>
  <c r="L521" i="29" s="1"/>
  <c r="J518" i="29"/>
  <c r="J521" i="29" s="1"/>
  <c r="I518" i="29"/>
  <c r="I521" i="29" s="1"/>
  <c r="H518" i="29"/>
  <c r="H521" i="29" s="1"/>
  <c r="G518" i="29"/>
  <c r="G521" i="29" s="1"/>
  <c r="F518" i="29"/>
  <c r="F521" i="29" s="1"/>
  <c r="E518" i="29"/>
  <c r="E521" i="29" s="1"/>
  <c r="D518" i="29"/>
  <c r="D521" i="29" s="1"/>
  <c r="P474" i="29" l="1"/>
  <c r="P477" i="29" s="1"/>
  <c r="O474" i="29"/>
  <c r="O477" i="29" s="1"/>
  <c r="N474" i="29"/>
  <c r="N477" i="29" s="1"/>
  <c r="M474" i="29"/>
  <c r="M477" i="29" s="1"/>
  <c r="L474" i="29"/>
  <c r="L477" i="29" s="1"/>
  <c r="K474" i="29"/>
  <c r="K477" i="29" s="1"/>
  <c r="J474" i="29"/>
  <c r="J477" i="29" s="1"/>
  <c r="I474" i="29"/>
  <c r="I477" i="29" s="1"/>
  <c r="H474" i="29"/>
  <c r="H477" i="29" s="1"/>
  <c r="G474" i="29"/>
  <c r="G477" i="29" s="1"/>
  <c r="F474" i="29"/>
  <c r="F477" i="29" s="1"/>
  <c r="E474" i="29"/>
  <c r="E477" i="29" s="1"/>
  <c r="D474" i="29"/>
  <c r="D477" i="29" s="1"/>
  <c r="P451" i="29"/>
  <c r="P454" i="29" s="1"/>
  <c r="P598" i="29" s="1"/>
  <c r="O451" i="29"/>
  <c r="O454" i="29" s="1"/>
  <c r="O598" i="29" s="1"/>
  <c r="N451" i="29"/>
  <c r="N454" i="29" s="1"/>
  <c r="N598" i="29" s="1"/>
  <c r="M451" i="29"/>
  <c r="M454" i="29" s="1"/>
  <c r="M598" i="29" s="1"/>
  <c r="L451" i="29"/>
  <c r="L454" i="29" s="1"/>
  <c r="L598" i="29" s="1"/>
  <c r="K451" i="29"/>
  <c r="K454" i="29" s="1"/>
  <c r="K598" i="29" s="1"/>
  <c r="J451" i="29"/>
  <c r="J454" i="29" s="1"/>
  <c r="J598" i="29" s="1"/>
  <c r="I451" i="29"/>
  <c r="I454" i="29" s="1"/>
  <c r="I598" i="29" s="1"/>
  <c r="H451" i="29"/>
  <c r="H454" i="29" s="1"/>
  <c r="H598" i="29" s="1"/>
  <c r="G451" i="29"/>
  <c r="G454" i="29" s="1"/>
  <c r="G598" i="29" s="1"/>
  <c r="F451" i="29"/>
  <c r="F454" i="29" s="1"/>
  <c r="F598" i="29" s="1"/>
  <c r="E451" i="29"/>
  <c r="E454" i="29" s="1"/>
  <c r="E598" i="29" s="1"/>
  <c r="D451" i="29"/>
  <c r="D454" i="29" s="1"/>
  <c r="O379" i="29"/>
  <c r="O382" i="29" s="1"/>
  <c r="N379" i="29"/>
  <c r="N382" i="29" s="1"/>
  <c r="M379" i="29"/>
  <c r="M382" i="29" s="1"/>
  <c r="L379" i="29"/>
  <c r="L382" i="29" s="1"/>
  <c r="J379" i="29"/>
  <c r="J382" i="29" s="1"/>
  <c r="I379" i="29"/>
  <c r="I382" i="29" s="1"/>
  <c r="H379" i="29"/>
  <c r="H382" i="29" s="1"/>
  <c r="G379" i="29"/>
  <c r="G382" i="29" s="1"/>
  <c r="F379" i="29"/>
  <c r="F382" i="29" s="1"/>
  <c r="E379" i="29"/>
  <c r="E382" i="29" s="1"/>
  <c r="D379" i="29"/>
  <c r="D382" i="29" s="1"/>
  <c r="P356" i="29"/>
  <c r="P360" i="29" s="1"/>
  <c r="O356" i="29"/>
  <c r="O360" i="29" s="1"/>
  <c r="N356" i="29"/>
  <c r="N360" i="29" s="1"/>
  <c r="L356" i="29"/>
  <c r="L360" i="29" s="1"/>
  <c r="J356" i="29"/>
  <c r="J360" i="29" s="1"/>
  <c r="I356" i="29"/>
  <c r="I360" i="29" s="1"/>
  <c r="H356" i="29"/>
  <c r="H360" i="29" s="1"/>
  <c r="G356" i="29"/>
  <c r="G360" i="29" s="1"/>
  <c r="F356" i="29"/>
  <c r="F360" i="29" s="1"/>
  <c r="E356" i="29"/>
  <c r="E360" i="29" s="1"/>
  <c r="D356" i="29"/>
  <c r="D360" i="29" s="1"/>
  <c r="O332" i="29"/>
  <c r="O335" i="29" s="1"/>
  <c r="N332" i="29"/>
  <c r="N335" i="29" s="1"/>
  <c r="M332" i="29"/>
  <c r="M335" i="29" s="1"/>
  <c r="L332" i="29"/>
  <c r="L335" i="29" s="1"/>
  <c r="K332" i="29"/>
  <c r="K335" i="29" s="1"/>
  <c r="J332" i="29"/>
  <c r="J335" i="29" s="1"/>
  <c r="I332" i="29"/>
  <c r="I335" i="29" s="1"/>
  <c r="H332" i="29"/>
  <c r="H335" i="29" s="1"/>
  <c r="G332" i="29"/>
  <c r="G335" i="29" s="1"/>
  <c r="F332" i="29"/>
  <c r="F335" i="29" s="1"/>
  <c r="E332" i="29"/>
  <c r="E335" i="29" s="1"/>
  <c r="D332" i="29"/>
  <c r="D335" i="29" s="1"/>
  <c r="P283" i="29"/>
  <c r="P286" i="29" s="1"/>
  <c r="O283" i="29"/>
  <c r="O286" i="29" s="1"/>
  <c r="N283" i="29"/>
  <c r="N286" i="29" s="1"/>
  <c r="M283" i="29"/>
  <c r="M286" i="29" s="1"/>
  <c r="L283" i="29"/>
  <c r="L286" i="29" s="1"/>
  <c r="J283" i="29"/>
  <c r="J286" i="29" s="1"/>
  <c r="I283" i="29"/>
  <c r="I286" i="29" s="1"/>
  <c r="H283" i="29"/>
  <c r="H286" i="29" s="1"/>
  <c r="G283" i="29"/>
  <c r="G286" i="29" s="1"/>
  <c r="F283" i="29"/>
  <c r="F286" i="29" s="1"/>
  <c r="E283" i="29"/>
  <c r="E286" i="29" s="1"/>
  <c r="D283" i="29"/>
  <c r="D286" i="29" s="1"/>
  <c r="P156" i="29"/>
  <c r="P161" i="29" s="1"/>
  <c r="P587" i="29" s="1"/>
  <c r="O156" i="29"/>
  <c r="O161" i="29" s="1"/>
  <c r="O587" i="29" s="1"/>
  <c r="N156" i="29"/>
  <c r="N161" i="29" s="1"/>
  <c r="N587" i="29" s="1"/>
  <c r="M156" i="29"/>
  <c r="M161" i="29" s="1"/>
  <c r="M587" i="29" s="1"/>
  <c r="L156" i="29"/>
  <c r="L161" i="29" s="1"/>
  <c r="L587" i="29" s="1"/>
  <c r="K156" i="29"/>
  <c r="K161" i="29" s="1"/>
  <c r="K587" i="29" s="1"/>
  <c r="J156" i="29"/>
  <c r="J161" i="29" s="1"/>
  <c r="J587" i="29" s="1"/>
  <c r="I156" i="29"/>
  <c r="I161" i="29" s="1"/>
  <c r="I587" i="29" s="1"/>
  <c r="H156" i="29"/>
  <c r="H161" i="29" s="1"/>
  <c r="H587" i="29" s="1"/>
  <c r="G156" i="29"/>
  <c r="G161" i="29" s="1"/>
  <c r="G587" i="29" s="1"/>
  <c r="F156" i="29"/>
  <c r="F161" i="29" s="1"/>
  <c r="F587" i="29" s="1"/>
  <c r="E156" i="29"/>
  <c r="E161" i="29" s="1"/>
  <c r="E587" i="29" s="1"/>
  <c r="D156" i="29"/>
  <c r="D161" i="29" s="1"/>
  <c r="F211" i="29"/>
  <c r="F217" i="29" s="1"/>
  <c r="E211" i="29"/>
  <c r="E217" i="29" s="1"/>
  <c r="P117" i="29"/>
  <c r="P120" i="29" s="1"/>
  <c r="O117" i="29"/>
  <c r="O120" i="29" s="1"/>
  <c r="N117" i="29"/>
  <c r="N120" i="29" s="1"/>
  <c r="M117" i="29"/>
  <c r="M120" i="29" s="1"/>
  <c r="L117" i="29"/>
  <c r="L120" i="29" s="1"/>
  <c r="I117" i="29"/>
  <c r="I120" i="29" s="1"/>
  <c r="H117" i="29"/>
  <c r="H120" i="29" s="1"/>
  <c r="G117" i="29"/>
  <c r="G120" i="29" s="1"/>
  <c r="F117" i="29"/>
  <c r="F120" i="29" s="1"/>
  <c r="E117" i="29"/>
  <c r="E120" i="29" s="1"/>
  <c r="D117" i="29"/>
  <c r="D120" i="29" s="1"/>
  <c r="P93" i="29"/>
  <c r="P97" i="29" s="1"/>
  <c r="O93" i="29"/>
  <c r="O97" i="29" s="1"/>
  <c r="N93" i="29"/>
  <c r="N97" i="29" s="1"/>
  <c r="L93" i="29"/>
  <c r="L97" i="29" s="1"/>
  <c r="I93" i="29"/>
  <c r="I97" i="29" s="1"/>
  <c r="H93" i="29"/>
  <c r="H97" i="29" s="1"/>
  <c r="G93" i="29"/>
  <c r="F93" i="29"/>
  <c r="E93" i="29"/>
  <c r="D93" i="29"/>
  <c r="G90" i="29"/>
  <c r="G97" i="29" s="1"/>
  <c r="F90" i="29"/>
  <c r="F97" i="29" s="1"/>
  <c r="E90" i="29"/>
  <c r="E97" i="29" s="1"/>
  <c r="D90" i="29"/>
  <c r="D97" i="29" s="1"/>
  <c r="P68" i="29"/>
  <c r="P71" i="29" s="1"/>
  <c r="O68" i="29"/>
  <c r="O71" i="29" s="1"/>
  <c r="N68" i="29"/>
  <c r="N71" i="29" s="1"/>
  <c r="M68" i="29"/>
  <c r="M71" i="29" s="1"/>
  <c r="L68" i="29"/>
  <c r="L71" i="29" s="1"/>
  <c r="K68" i="29"/>
  <c r="K71" i="29" s="1"/>
  <c r="I68" i="29"/>
  <c r="I71" i="29" s="1"/>
  <c r="G68" i="29"/>
  <c r="G71" i="29" s="1"/>
  <c r="F68" i="29"/>
  <c r="F71" i="29" s="1"/>
  <c r="E68" i="29"/>
  <c r="E71" i="29" s="1"/>
  <c r="D68" i="29"/>
  <c r="D71" i="29" s="1"/>
  <c r="E588" i="29" l="1"/>
  <c r="E602" i="29"/>
  <c r="G588" i="29"/>
  <c r="G602" i="29"/>
  <c r="I602" i="29"/>
  <c r="K602" i="29"/>
  <c r="M602" i="29"/>
  <c r="O602" i="29"/>
  <c r="F593" i="29"/>
  <c r="H593" i="29"/>
  <c r="J593" i="29"/>
  <c r="L593" i="29"/>
  <c r="N593" i="29"/>
  <c r="P593" i="29"/>
  <c r="F588" i="29"/>
  <c r="F602" i="29"/>
  <c r="H602" i="29"/>
  <c r="J602" i="29"/>
  <c r="L602" i="29"/>
  <c r="N602" i="29"/>
  <c r="P588" i="29"/>
  <c r="P602" i="29"/>
  <c r="E593" i="29"/>
  <c r="G593" i="29"/>
  <c r="I593" i="29"/>
  <c r="K593" i="29"/>
  <c r="M593" i="29"/>
  <c r="O593" i="29"/>
  <c r="E549" i="29"/>
  <c r="E41" i="32" s="1"/>
  <c r="I341" i="29"/>
  <c r="N341" i="29"/>
  <c r="L341" i="29"/>
  <c r="J341" i="29"/>
  <c r="P23" i="29"/>
  <c r="O23" i="29"/>
  <c r="N23" i="29"/>
  <c r="M23" i="29"/>
  <c r="L23" i="29"/>
  <c r="K23" i="29"/>
  <c r="I23" i="29"/>
  <c r="H23" i="29"/>
  <c r="G23" i="29"/>
  <c r="F23" i="29"/>
  <c r="E23" i="29"/>
  <c r="P22" i="29"/>
  <c r="O22" i="29"/>
  <c r="N22" i="29"/>
  <c r="M22" i="29"/>
  <c r="L22" i="29"/>
  <c r="K22" i="29"/>
  <c r="I22" i="29"/>
  <c r="H22" i="29"/>
  <c r="G22" i="29"/>
  <c r="F22" i="29"/>
  <c r="E22" i="29"/>
  <c r="D22" i="29"/>
  <c r="P21" i="29"/>
  <c r="P25" i="29" s="1"/>
  <c r="O21" i="29"/>
  <c r="N21" i="29"/>
  <c r="N25" i="29" s="1"/>
  <c r="M21" i="29"/>
  <c r="L21" i="29"/>
  <c r="L25" i="29" s="1"/>
  <c r="K21" i="29"/>
  <c r="I21" i="29"/>
  <c r="I25" i="29" s="1"/>
  <c r="H21" i="29"/>
  <c r="G21" i="29"/>
  <c r="F21" i="29"/>
  <c r="E21" i="29"/>
  <c r="D21" i="29"/>
  <c r="G19" i="29"/>
  <c r="G25" i="29" s="1"/>
  <c r="F19" i="29"/>
  <c r="E19" i="29"/>
  <c r="D19" i="29"/>
  <c r="E18" i="29"/>
  <c r="E25" i="29" s="1"/>
  <c r="D18" i="29"/>
  <c r="D25" i="29" s="1"/>
  <c r="D146" i="29" s="1"/>
  <c r="E146" i="29" l="1"/>
  <c r="E583" i="29"/>
  <c r="E603" i="29" s="1"/>
  <c r="G146" i="29"/>
  <c r="G583" i="29"/>
  <c r="G603" i="29" s="1"/>
  <c r="I146" i="29"/>
  <c r="I583" i="29"/>
  <c r="L146" i="29"/>
  <c r="L583" i="29"/>
  <c r="N146" i="29"/>
  <c r="N583" i="29"/>
  <c r="P146" i="29"/>
  <c r="P583" i="29"/>
  <c r="P603" i="29" s="1"/>
  <c r="F25" i="29"/>
  <c r="H25" i="29"/>
  <c r="K25" i="29"/>
  <c r="M25" i="29"/>
  <c r="O25" i="29"/>
  <c r="O341" i="29"/>
  <c r="K341" i="29"/>
  <c r="Q548" i="31"/>
  <c r="P548" i="31"/>
  <c r="P523" i="31"/>
  <c r="Q523" i="31"/>
  <c r="P501" i="31"/>
  <c r="Q501" i="31"/>
  <c r="P477" i="31"/>
  <c r="Q477" i="31"/>
  <c r="P430" i="31"/>
  <c r="Q430" i="31"/>
  <c r="P408" i="31"/>
  <c r="Q408" i="31"/>
  <c r="P385" i="31"/>
  <c r="Q385" i="31"/>
  <c r="P365" i="31"/>
  <c r="Q365" i="31"/>
  <c r="P341" i="31"/>
  <c r="Q341" i="31"/>
  <c r="P318" i="31"/>
  <c r="P590" i="31" s="1"/>
  <c r="Q318" i="31"/>
  <c r="Q590" i="31" s="1"/>
  <c r="P294" i="31"/>
  <c r="Q294" i="31"/>
  <c r="P272" i="31"/>
  <c r="Q272" i="31"/>
  <c r="P249" i="31"/>
  <c r="Q249" i="31"/>
  <c r="P224" i="31"/>
  <c r="Q224" i="31"/>
  <c r="P202" i="31"/>
  <c r="Q202" i="31"/>
  <c r="P178" i="31"/>
  <c r="P585" i="31" s="1"/>
  <c r="Q178" i="31"/>
  <c r="Q585" i="31" s="1"/>
  <c r="P154" i="31"/>
  <c r="Q154" i="31"/>
  <c r="P129" i="31"/>
  <c r="Q129" i="31"/>
  <c r="P82" i="31"/>
  <c r="Q82" i="31"/>
  <c r="P57" i="31"/>
  <c r="Q57" i="31"/>
  <c r="P571" i="29"/>
  <c r="Q571" i="29"/>
  <c r="P549" i="29"/>
  <c r="Q549" i="29"/>
  <c r="P482" i="29"/>
  <c r="Q482" i="29"/>
  <c r="P434" i="29"/>
  <c r="Q434" i="29"/>
  <c r="Q341" i="29"/>
  <c r="P341" i="29"/>
  <c r="P317" i="29"/>
  <c r="P291" i="29"/>
  <c r="Q291" i="29"/>
  <c r="P269" i="29"/>
  <c r="Q269" i="29"/>
  <c r="P246" i="29"/>
  <c r="Q246" i="29"/>
  <c r="P222" i="29"/>
  <c r="Q222" i="29"/>
  <c r="P200" i="29"/>
  <c r="Q200" i="29"/>
  <c r="P177" i="29"/>
  <c r="P589" i="29" s="1"/>
  <c r="Q177" i="29"/>
  <c r="Q589" i="29" s="1"/>
  <c r="P152" i="29"/>
  <c r="Q152" i="29"/>
  <c r="P125" i="29"/>
  <c r="Q125" i="29"/>
  <c r="P102" i="29"/>
  <c r="Q102" i="29"/>
  <c r="P53" i="29"/>
  <c r="Q53" i="29"/>
  <c r="M146" i="29" l="1"/>
  <c r="M583" i="29"/>
  <c r="O146" i="29"/>
  <c r="O583" i="29"/>
  <c r="K146" i="29"/>
  <c r="K583" i="29"/>
  <c r="F146" i="29"/>
  <c r="F583" i="29"/>
  <c r="F603" i="29" s="1"/>
  <c r="P431" i="31"/>
  <c r="Q431" i="31"/>
  <c r="P295" i="31"/>
  <c r="P455" i="31" s="1"/>
  <c r="Q295" i="31"/>
  <c r="Q455" i="31" s="1"/>
  <c r="Q595" i="31" s="1"/>
  <c r="R5" i="32"/>
  <c r="S7" i="32"/>
  <c r="S8" i="32"/>
  <c r="S9" i="32"/>
  <c r="S16" i="32"/>
  <c r="S17" i="32"/>
  <c r="S18" i="32"/>
  <c r="S19" i="32"/>
  <c r="S20" i="32"/>
  <c r="S41" i="32"/>
  <c r="S42" i="32"/>
  <c r="S5" i="32"/>
  <c r="R7" i="32"/>
  <c r="R8" i="32"/>
  <c r="R9" i="32"/>
  <c r="R16" i="32"/>
  <c r="R17" i="32"/>
  <c r="R18" i="32"/>
  <c r="R19" i="32"/>
  <c r="R20" i="32"/>
  <c r="R32" i="34"/>
  <c r="R33" i="34" s="1"/>
  <c r="R41" i="32"/>
  <c r="R42" i="32"/>
  <c r="S15" i="32"/>
  <c r="Q292" i="29"/>
  <c r="R15" i="32"/>
  <c r="P292" i="29"/>
  <c r="S45" i="33"/>
  <c r="R44" i="33"/>
  <c r="S44" i="33"/>
  <c r="R43" i="33"/>
  <c r="S43" i="33"/>
  <c r="R42" i="33"/>
  <c r="S42" i="33"/>
  <c r="R41" i="33"/>
  <c r="S41" i="33"/>
  <c r="R33" i="33"/>
  <c r="S33" i="33"/>
  <c r="R32" i="33"/>
  <c r="S32" i="33"/>
  <c r="R31" i="33"/>
  <c r="S31" i="33"/>
  <c r="R30" i="33"/>
  <c r="S30" i="33"/>
  <c r="R29" i="33"/>
  <c r="S29" i="33"/>
  <c r="R28" i="33"/>
  <c r="S28" i="33"/>
  <c r="R21" i="33"/>
  <c r="S21" i="33"/>
  <c r="R20" i="33"/>
  <c r="S20" i="33"/>
  <c r="R19" i="33"/>
  <c r="S19" i="33"/>
  <c r="R18" i="33"/>
  <c r="S18" i="33"/>
  <c r="R17" i="33"/>
  <c r="S17" i="33"/>
  <c r="L16" i="33"/>
  <c r="R16" i="33"/>
  <c r="S16" i="33"/>
  <c r="R38" i="32"/>
  <c r="S38" i="32"/>
  <c r="R31" i="32"/>
  <c r="S31" i="32"/>
  <c r="J27" i="32"/>
  <c r="O27" i="32"/>
  <c r="R27" i="32"/>
  <c r="S27" i="32"/>
  <c r="R26" i="32"/>
  <c r="S26" i="32"/>
  <c r="C39" i="32"/>
  <c r="R9" i="33"/>
  <c r="S9" i="33"/>
  <c r="R8" i="33"/>
  <c r="S8" i="33"/>
  <c r="R7" i="33"/>
  <c r="S7" i="33"/>
  <c r="R6" i="33"/>
  <c r="S6" i="33"/>
  <c r="R5" i="33"/>
  <c r="S5" i="33"/>
  <c r="Q48" i="33"/>
  <c r="P48" i="33"/>
  <c r="O48" i="33"/>
  <c r="N48" i="33"/>
  <c r="M48" i="33"/>
  <c r="L48" i="33"/>
  <c r="K48" i="33"/>
  <c r="J48" i="33"/>
  <c r="I48" i="33"/>
  <c r="G48" i="33"/>
  <c r="E48" i="33"/>
  <c r="C48" i="33"/>
  <c r="Q36" i="33"/>
  <c r="P36" i="33"/>
  <c r="O36" i="33"/>
  <c r="N36" i="33"/>
  <c r="M36" i="33"/>
  <c r="L36" i="33"/>
  <c r="K36" i="33"/>
  <c r="J36" i="33"/>
  <c r="I36" i="33"/>
  <c r="G36" i="33"/>
  <c r="E36" i="33"/>
  <c r="C36" i="33"/>
  <c r="Q24" i="33"/>
  <c r="P24" i="33"/>
  <c r="O24" i="33"/>
  <c r="N24" i="33"/>
  <c r="M24" i="33"/>
  <c r="L24" i="33"/>
  <c r="K24" i="33"/>
  <c r="J24" i="33"/>
  <c r="I24" i="33"/>
  <c r="G24" i="33"/>
  <c r="E24" i="33"/>
  <c r="C24" i="33"/>
  <c r="Q12" i="33"/>
  <c r="P12" i="33"/>
  <c r="O12" i="33"/>
  <c r="N12" i="33"/>
  <c r="M12" i="33"/>
  <c r="L12" i="33"/>
  <c r="K12" i="33"/>
  <c r="J12" i="33"/>
  <c r="I12" i="33"/>
  <c r="G12" i="33"/>
  <c r="E12" i="33"/>
  <c r="C12" i="33"/>
  <c r="R40" i="33" l="1"/>
  <c r="S40" i="33"/>
  <c r="S46" i="33" s="1"/>
  <c r="S47" i="33" s="1"/>
  <c r="Q572" i="31"/>
  <c r="R34" i="33"/>
  <c r="R35" i="33" s="1"/>
  <c r="R21" i="32"/>
  <c r="R22" i="32" s="1"/>
  <c r="S21" i="32"/>
  <c r="S22" i="32" s="1"/>
  <c r="S32" i="34"/>
  <c r="S33" i="34" s="1"/>
  <c r="R43" i="34"/>
  <c r="R44" i="34" s="1"/>
  <c r="R21" i="34"/>
  <c r="R22" i="34" s="1"/>
  <c r="R10" i="34"/>
  <c r="S43" i="34"/>
  <c r="S44" i="34" s="1"/>
  <c r="S21" i="34"/>
  <c r="S22" i="34" s="1"/>
  <c r="S10" i="34"/>
  <c r="S34" i="33"/>
  <c r="S35" i="33" s="1"/>
  <c r="S22" i="33"/>
  <c r="S23" i="33" s="1"/>
  <c r="R22" i="33"/>
  <c r="R23" i="33" s="1"/>
  <c r="R11" i="34" l="1"/>
  <c r="R48" i="34"/>
  <c r="R49" i="34" s="1"/>
  <c r="S11" i="34"/>
  <c r="S48" i="34"/>
  <c r="S49" i="34" s="1"/>
  <c r="E571" i="31" l="1"/>
  <c r="E45" i="33" s="1"/>
  <c r="M571" i="31"/>
  <c r="O45" i="33" s="1"/>
  <c r="I571" i="31"/>
  <c r="K45" i="33" s="1"/>
  <c r="L523" i="31"/>
  <c r="N43" i="33" s="1"/>
  <c r="J523" i="31"/>
  <c r="L43" i="33" s="1"/>
  <c r="M523" i="31"/>
  <c r="O43" i="33" s="1"/>
  <c r="M501" i="31"/>
  <c r="O42" i="33" s="1"/>
  <c r="N501" i="31"/>
  <c r="P42" i="33" s="1"/>
  <c r="E501" i="31"/>
  <c r="E42" i="33" s="1"/>
  <c r="K477" i="31"/>
  <c r="M41" i="33" s="1"/>
  <c r="J477" i="31"/>
  <c r="L41" i="33" s="1"/>
  <c r="L477" i="31"/>
  <c r="N41" i="33" s="1"/>
  <c r="M430" i="31"/>
  <c r="O33" i="33" s="1"/>
  <c r="L430" i="31"/>
  <c r="N33" i="33" s="1"/>
  <c r="K430" i="31"/>
  <c r="M33" i="33" s="1"/>
  <c r="N408" i="31"/>
  <c r="L408" i="31"/>
  <c r="K408" i="31"/>
  <c r="I408" i="31"/>
  <c r="O408" i="31"/>
  <c r="G408" i="31"/>
  <c r="I32" i="33" s="1"/>
  <c r="O385" i="31"/>
  <c r="Q31" i="33" s="1"/>
  <c r="M385" i="31"/>
  <c r="O31" i="33" s="1"/>
  <c r="L385" i="31"/>
  <c r="N31" i="33" s="1"/>
  <c r="M365" i="31"/>
  <c r="O30" i="33" s="1"/>
  <c r="L365" i="31"/>
  <c r="N30" i="33" s="1"/>
  <c r="E365" i="31"/>
  <c r="E30" i="33" s="1"/>
  <c r="M318" i="31"/>
  <c r="I318" i="31"/>
  <c r="L294" i="31"/>
  <c r="M294" i="31"/>
  <c r="L272" i="31"/>
  <c r="N20" i="33" s="1"/>
  <c r="K272" i="31"/>
  <c r="M20" i="33" s="1"/>
  <c r="J272" i="31"/>
  <c r="L20" i="33" s="1"/>
  <c r="M249" i="31"/>
  <c r="O19" i="33" s="1"/>
  <c r="I249" i="31"/>
  <c r="K19" i="33" s="1"/>
  <c r="I202" i="31"/>
  <c r="K17" i="33" s="1"/>
  <c r="G202" i="31"/>
  <c r="I17" i="33" s="1"/>
  <c r="O178" i="31"/>
  <c r="N178" i="31"/>
  <c r="M178" i="31"/>
  <c r="L178" i="31"/>
  <c r="E154" i="31"/>
  <c r="E9" i="33" s="1"/>
  <c r="O154" i="31"/>
  <c r="Q9" i="33" s="1"/>
  <c r="L154" i="31"/>
  <c r="N9" i="33" s="1"/>
  <c r="K154" i="31"/>
  <c r="M9" i="33" s="1"/>
  <c r="M154" i="31"/>
  <c r="O9" i="33" s="1"/>
  <c r="O129" i="31"/>
  <c r="Q8" i="33" s="1"/>
  <c r="N129" i="31"/>
  <c r="P8" i="33" s="1"/>
  <c r="K129" i="31"/>
  <c r="M8" i="33" s="1"/>
  <c r="O7" i="33"/>
  <c r="N7" i="33"/>
  <c r="L7" i="33"/>
  <c r="P7" i="33"/>
  <c r="J7" i="33"/>
  <c r="E7" i="33"/>
  <c r="L57" i="31"/>
  <c r="E57" i="31"/>
  <c r="L571" i="29"/>
  <c r="J571" i="29"/>
  <c r="O549" i="29"/>
  <c r="N549" i="29"/>
  <c r="N482" i="29"/>
  <c r="L482" i="29"/>
  <c r="I482" i="29"/>
  <c r="O482" i="29"/>
  <c r="K482" i="29"/>
  <c r="J482" i="29"/>
  <c r="L434" i="29"/>
  <c r="I434" i="29"/>
  <c r="M434" i="29"/>
  <c r="K434" i="29"/>
  <c r="K317" i="29"/>
  <c r="M317" i="29"/>
  <c r="N269" i="29"/>
  <c r="L269" i="29"/>
  <c r="H177" i="29"/>
  <c r="M177" i="29"/>
  <c r="O211" i="29"/>
  <c r="N211" i="29"/>
  <c r="M211" i="29"/>
  <c r="L211" i="29"/>
  <c r="K211" i="29"/>
  <c r="J211" i="29"/>
  <c r="I211" i="29"/>
  <c r="H211" i="29"/>
  <c r="J117" i="29"/>
  <c r="J120" i="29" s="1"/>
  <c r="M125" i="29"/>
  <c r="K125" i="29"/>
  <c r="J93" i="29"/>
  <c r="J97" i="29" s="1"/>
  <c r="J68" i="29"/>
  <c r="J71" i="29" s="1"/>
  <c r="H68" i="29"/>
  <c r="H71" i="29" s="1"/>
  <c r="L53" i="29"/>
  <c r="J21" i="29"/>
  <c r="J25" i="29" s="1"/>
  <c r="E291" i="29"/>
  <c r="F269" i="29"/>
  <c r="D269" i="29"/>
  <c r="F177" i="29"/>
  <c r="E102" i="29"/>
  <c r="F53" i="29"/>
  <c r="D482" i="29"/>
  <c r="D571" i="29"/>
  <c r="D341" i="29"/>
  <c r="K269" i="29"/>
  <c r="E53" i="29"/>
  <c r="D200" i="29"/>
  <c r="J146" i="29" l="1"/>
  <c r="J583" i="29"/>
  <c r="H146" i="29"/>
  <c r="H583" i="29"/>
  <c r="H217" i="29"/>
  <c r="J217" i="29"/>
  <c r="L217" i="29"/>
  <c r="N217" i="29"/>
  <c r="I217" i="29"/>
  <c r="K217" i="29"/>
  <c r="M217" i="29"/>
  <c r="O217" i="29"/>
  <c r="Q32" i="33"/>
  <c r="P32" i="33"/>
  <c r="N32" i="33"/>
  <c r="M32" i="33"/>
  <c r="K32" i="33"/>
  <c r="M152" i="29"/>
  <c r="O9" i="32" s="1"/>
  <c r="K246" i="29"/>
  <c r="M246" i="29"/>
  <c r="F106" i="31"/>
  <c r="G7" i="33" s="1"/>
  <c r="O224" i="31"/>
  <c r="K224" i="31"/>
  <c r="M224" i="31"/>
  <c r="G365" i="31"/>
  <c r="I30" i="33" s="1"/>
  <c r="F33" i="33"/>
  <c r="F43" i="33"/>
  <c r="H571" i="31"/>
  <c r="J45" i="33" s="1"/>
  <c r="L224" i="31"/>
  <c r="K294" i="31"/>
  <c r="M21" i="33" s="1"/>
  <c r="J365" i="31"/>
  <c r="L30" i="33" s="1"/>
  <c r="D33" i="33"/>
  <c r="H33" i="33"/>
  <c r="D43" i="33"/>
  <c r="N548" i="31"/>
  <c r="P44" i="33" s="1"/>
  <c r="G571" i="31"/>
  <c r="I45" i="33" s="1"/>
  <c r="N5" i="33"/>
  <c r="E5" i="33"/>
  <c r="M19" i="32"/>
  <c r="C27" i="32"/>
  <c r="C38" i="32"/>
  <c r="E7" i="32"/>
  <c r="C19" i="32"/>
  <c r="E20" i="32"/>
  <c r="N5" i="32"/>
  <c r="M8" i="32"/>
  <c r="M18" i="32"/>
  <c r="O18" i="32"/>
  <c r="P19" i="32"/>
  <c r="O31" i="32"/>
  <c r="K31" i="32"/>
  <c r="N31" i="32"/>
  <c r="M38" i="32"/>
  <c r="Q38" i="32"/>
  <c r="K38" i="32"/>
  <c r="Q41" i="32"/>
  <c r="N42" i="32"/>
  <c r="N38" i="32"/>
  <c r="C16" i="32"/>
  <c r="E5" i="32"/>
  <c r="G5" i="32"/>
  <c r="G19" i="32"/>
  <c r="O8" i="32"/>
  <c r="N19" i="32"/>
  <c r="M31" i="32"/>
  <c r="L38" i="32"/>
  <c r="P38" i="32"/>
  <c r="P41" i="32"/>
  <c r="L42" i="32"/>
  <c r="K102" i="29"/>
  <c r="O102" i="29"/>
  <c r="J15" i="32"/>
  <c r="M222" i="29"/>
  <c r="L291" i="29"/>
  <c r="G15" i="32"/>
  <c r="L102" i="29"/>
  <c r="O15" i="32"/>
  <c r="M291" i="29"/>
  <c r="H482" i="29"/>
  <c r="O21" i="33"/>
  <c r="N21" i="33"/>
  <c r="H43" i="33"/>
  <c r="M548" i="31"/>
  <c r="O44" i="33" s="1"/>
  <c r="F45" i="33"/>
  <c r="K291" i="29"/>
  <c r="D7" i="33"/>
  <c r="F30" i="33"/>
  <c r="E249" i="31"/>
  <c r="E19" i="33" s="1"/>
  <c r="D45" i="33"/>
  <c r="H45" i="33"/>
  <c r="L317" i="29"/>
  <c r="L125" i="29"/>
  <c r="N125" i="29"/>
  <c r="F8" i="32"/>
  <c r="D29" i="33"/>
  <c r="I341" i="31"/>
  <c r="K29" i="33" s="1"/>
  <c r="D41" i="33"/>
  <c r="H434" i="29"/>
  <c r="K200" i="29"/>
  <c r="I152" i="29"/>
  <c r="H152" i="29"/>
  <c r="E408" i="31"/>
  <c r="E32" i="33" s="1"/>
  <c r="J102" i="29"/>
  <c r="I269" i="29"/>
  <c r="K27" i="32"/>
  <c r="H385" i="31"/>
  <c r="J31" i="33" s="1"/>
  <c r="H6" i="33"/>
  <c r="G523" i="31"/>
  <c r="I43" i="33" s="1"/>
  <c r="I523" i="31"/>
  <c r="K43" i="33" s="1"/>
  <c r="O501" i="31"/>
  <c r="Q42" i="33" s="1"/>
  <c r="D42" i="33"/>
  <c r="H42" i="33"/>
  <c r="H501" i="31"/>
  <c r="J42" i="33" s="1"/>
  <c r="F18" i="33"/>
  <c r="G249" i="31"/>
  <c r="I19" i="33" s="1"/>
  <c r="F8" i="33"/>
  <c r="K82" i="31"/>
  <c r="M6" i="33" s="1"/>
  <c r="O82" i="31"/>
  <c r="Q6" i="33" s="1"/>
  <c r="G178" i="31"/>
  <c r="L249" i="31"/>
  <c r="N19" i="33" s="1"/>
  <c r="D21" i="33"/>
  <c r="H21" i="33"/>
  <c r="O294" i="31"/>
  <c r="J385" i="31"/>
  <c r="L31" i="33" s="1"/>
  <c r="F31" i="33"/>
  <c r="D385" i="31"/>
  <c r="C31" i="33" s="1"/>
  <c r="I272" i="31"/>
  <c r="K20" i="33" s="1"/>
  <c r="H42" i="32"/>
  <c r="D40" i="32"/>
  <c r="H40" i="32"/>
  <c r="F16" i="32"/>
  <c r="F19" i="32"/>
  <c r="D18" i="32"/>
  <c r="H272" i="31"/>
  <c r="J20" i="33" s="1"/>
  <c r="D7" i="32"/>
  <c r="H20" i="33"/>
  <c r="F32" i="33"/>
  <c r="D32" i="33"/>
  <c r="H8" i="33"/>
  <c r="N82" i="31"/>
  <c r="P6" i="33" s="1"/>
  <c r="D20" i="33"/>
  <c r="D18" i="33"/>
  <c r="K249" i="31"/>
  <c r="M19" i="33" s="1"/>
  <c r="O523" i="31"/>
  <c r="Q43" i="33" s="1"/>
  <c r="F20" i="33"/>
  <c r="F21" i="33"/>
  <c r="H32" i="33"/>
  <c r="D6" i="33"/>
  <c r="Q7" i="33"/>
  <c r="J154" i="31"/>
  <c r="L9" i="33" s="1"/>
  <c r="F9" i="33"/>
  <c r="F154" i="31"/>
  <c r="G9" i="33" s="1"/>
  <c r="H154" i="31"/>
  <c r="J9" i="33" s="1"/>
  <c r="E202" i="31"/>
  <c r="E17" i="33" s="1"/>
  <c r="J294" i="31"/>
  <c r="N294" i="31"/>
  <c r="H29" i="33"/>
  <c r="G477" i="31"/>
  <c r="I41" i="33" s="1"/>
  <c r="D408" i="31"/>
  <c r="C32" i="33" s="1"/>
  <c r="F477" i="31"/>
  <c r="G41" i="33" s="1"/>
  <c r="F29" i="32"/>
  <c r="F42" i="32"/>
  <c r="H8" i="32"/>
  <c r="H41" i="32"/>
  <c r="F40" i="32"/>
  <c r="F38" i="32"/>
  <c r="H7" i="32"/>
  <c r="E177" i="29"/>
  <c r="F31" i="32"/>
  <c r="E152" i="29"/>
  <c r="H27" i="32"/>
  <c r="L27" i="32"/>
  <c r="F18" i="32"/>
  <c r="F291" i="29"/>
  <c r="H20" i="32"/>
  <c r="L177" i="29"/>
  <c r="I200" i="29"/>
  <c r="H269" i="29"/>
  <c r="D6" i="32"/>
  <c r="O26" i="32"/>
  <c r="Q16" i="33"/>
  <c r="P16" i="33"/>
  <c r="M26" i="32"/>
  <c r="N341" i="31"/>
  <c r="P29" i="33" s="1"/>
  <c r="D41" i="32"/>
  <c r="H29" i="32"/>
  <c r="D106" i="31"/>
  <c r="M272" i="31"/>
  <c r="O20" i="33" s="1"/>
  <c r="E294" i="31"/>
  <c r="E21" i="33" s="1"/>
  <c r="H41" i="33"/>
  <c r="F408" i="31"/>
  <c r="G32" i="33" s="1"/>
  <c r="D477" i="31"/>
  <c r="C41" i="33" s="1"/>
  <c r="D8" i="33"/>
  <c r="D29" i="32"/>
  <c r="F5" i="32"/>
  <c r="E269" i="29"/>
  <c r="E482" i="29"/>
  <c r="D20" i="32"/>
  <c r="F7" i="32"/>
  <c r="F39" i="32"/>
  <c r="I177" i="29"/>
  <c r="D57" i="31"/>
  <c r="F6" i="33"/>
  <c r="J129" i="31"/>
  <c r="L8" i="33" s="1"/>
  <c r="I154" i="31"/>
  <c r="K9" i="33" s="1"/>
  <c r="J249" i="31"/>
  <c r="L19" i="33" s="1"/>
  <c r="G272" i="31"/>
  <c r="I20" i="33" s="1"/>
  <c r="H294" i="31"/>
  <c r="F29" i="33"/>
  <c r="H365" i="31"/>
  <c r="J30" i="33" s="1"/>
  <c r="H30" i="33"/>
  <c r="N523" i="31"/>
  <c r="P43" i="33" s="1"/>
  <c r="K28" i="33"/>
  <c r="N152" i="29"/>
  <c r="M549" i="29"/>
  <c r="N16" i="33"/>
  <c r="O16" i="33"/>
  <c r="O28" i="33"/>
  <c r="K523" i="31"/>
  <c r="M43" i="33" s="1"/>
  <c r="H7" i="33"/>
  <c r="L129" i="31"/>
  <c r="N8" i="33" s="1"/>
  <c r="H18" i="33"/>
  <c r="H31" i="33"/>
  <c r="D42" i="32"/>
  <c r="G152" i="29"/>
  <c r="H125" i="29"/>
  <c r="J177" i="29"/>
  <c r="I246" i="29"/>
  <c r="O249" i="31"/>
  <c r="Q19" i="33" s="1"/>
  <c r="D294" i="31"/>
  <c r="C21" i="33" s="1"/>
  <c r="D365" i="31"/>
  <c r="C30" i="33" s="1"/>
  <c r="J408" i="31"/>
  <c r="C42" i="32"/>
  <c r="F9" i="32"/>
  <c r="J200" i="29"/>
  <c r="N200" i="29"/>
  <c r="K202" i="31"/>
  <c r="M17" i="33" s="1"/>
  <c r="D249" i="31"/>
  <c r="C19" i="33" s="1"/>
  <c r="O430" i="31"/>
  <c r="Q33" i="33" s="1"/>
  <c r="K548" i="31"/>
  <c r="M44" i="33" s="1"/>
  <c r="H6" i="32"/>
  <c r="F17" i="32"/>
  <c r="H31" i="32"/>
  <c r="D5" i="32"/>
  <c r="H18" i="32"/>
  <c r="D16" i="32"/>
  <c r="D38" i="32"/>
  <c r="F222" i="29"/>
  <c r="D8" i="32"/>
  <c r="D9" i="32"/>
  <c r="H9" i="32"/>
  <c r="D17" i="32"/>
  <c r="H17" i="32"/>
  <c r="D19" i="32"/>
  <c r="H19" i="32"/>
  <c r="F27" i="32"/>
  <c r="H5" i="32"/>
  <c r="D125" i="29"/>
  <c r="D152" i="29"/>
  <c r="D246" i="29"/>
  <c r="F246" i="29"/>
  <c r="E317" i="29"/>
  <c r="E434" i="29"/>
  <c r="F20" i="32"/>
  <c r="F6" i="32"/>
  <c r="D31" i="32"/>
  <c r="H39" i="32"/>
  <c r="D39" i="32"/>
  <c r="O125" i="29"/>
  <c r="L200" i="29"/>
  <c r="M269" i="29"/>
  <c r="O269" i="29"/>
  <c r="M27" i="32"/>
  <c r="L246" i="29"/>
  <c r="O246" i="29"/>
  <c r="L152" i="29"/>
  <c r="O177" i="29"/>
  <c r="J246" i="29"/>
  <c r="H549" i="29"/>
  <c r="J549" i="29"/>
  <c r="J291" i="29"/>
  <c r="O200" i="29"/>
  <c r="N177" i="29"/>
  <c r="N246" i="29"/>
  <c r="J269" i="29"/>
  <c r="J317" i="29"/>
  <c r="N27" i="32"/>
  <c r="P27" i="32"/>
  <c r="Q27" i="32"/>
  <c r="F41" i="32"/>
  <c r="O53" i="29"/>
  <c r="K152" i="29"/>
  <c r="O434" i="29"/>
  <c r="I549" i="29"/>
  <c r="K385" i="31"/>
  <c r="M31" i="33" s="1"/>
  <c r="N154" i="31"/>
  <c r="P9" i="33" s="1"/>
  <c r="I224" i="31"/>
  <c r="F19" i="33"/>
  <c r="N477" i="31"/>
  <c r="P41" i="33" s="1"/>
  <c r="L548" i="31"/>
  <c r="N44" i="33" s="1"/>
  <c r="F571" i="31"/>
  <c r="G45" i="33" s="1"/>
  <c r="H224" i="31"/>
  <c r="M477" i="31"/>
  <c r="O41" i="33" s="1"/>
  <c r="O477" i="31"/>
  <c r="Q41" i="33" s="1"/>
  <c r="O548" i="31"/>
  <c r="Q44" i="33" s="1"/>
  <c r="M200" i="29"/>
  <c r="M589" i="29" s="1"/>
  <c r="M53" i="29"/>
  <c r="K177" i="29"/>
  <c r="O152" i="29"/>
  <c r="N291" i="29"/>
  <c r="O317" i="29"/>
  <c r="N53" i="29"/>
  <c r="J434" i="29"/>
  <c r="N434" i="29"/>
  <c r="L549" i="29"/>
  <c r="O291" i="29"/>
  <c r="N317" i="29"/>
  <c r="M482" i="29"/>
  <c r="G82" i="31"/>
  <c r="I6" i="33" s="1"/>
  <c r="H82" i="31"/>
  <c r="J6" i="33" s="1"/>
  <c r="K341" i="31"/>
  <c r="M29" i="33" s="1"/>
  <c r="K501" i="31"/>
  <c r="M42" i="33" s="1"/>
  <c r="D571" i="31"/>
  <c r="C45" i="33" s="1"/>
  <c r="J571" i="31"/>
  <c r="L45" i="33" s="1"/>
  <c r="E224" i="31"/>
  <c r="G224" i="31"/>
  <c r="F501" i="31"/>
  <c r="G42" i="33" s="1"/>
  <c r="J501" i="31"/>
  <c r="L42" i="33" s="1"/>
  <c r="L501" i="31"/>
  <c r="N42" i="33" s="1"/>
  <c r="K571" i="31"/>
  <c r="M45" i="33" s="1"/>
  <c r="L82" i="31"/>
  <c r="N6" i="33" s="1"/>
  <c r="N249" i="31"/>
  <c r="P19" i="33" s="1"/>
  <c r="O272" i="31"/>
  <c r="Q20" i="33" s="1"/>
  <c r="O318" i="31"/>
  <c r="K365" i="31"/>
  <c r="M30" i="33" s="1"/>
  <c r="O365" i="31"/>
  <c r="Q30" i="33" s="1"/>
  <c r="G385" i="31"/>
  <c r="I31" i="33" s="1"/>
  <c r="N430" i="31"/>
  <c r="P33" i="33" s="1"/>
  <c r="O571" i="31"/>
  <c r="Q45" i="33" s="1"/>
  <c r="J82" i="31"/>
  <c r="L6" i="33" s="1"/>
  <c r="M7" i="33"/>
  <c r="F7" i="33"/>
  <c r="G129" i="31"/>
  <c r="I8" i="33" s="1"/>
  <c r="I129" i="31"/>
  <c r="K8" i="33" s="1"/>
  <c r="M129" i="31"/>
  <c r="O8" i="33" s="1"/>
  <c r="G154" i="31"/>
  <c r="I9" i="33" s="1"/>
  <c r="H17" i="33"/>
  <c r="F202" i="31"/>
  <c r="G17" i="33" s="1"/>
  <c r="J224" i="31"/>
  <c r="N224" i="31"/>
  <c r="D224" i="31"/>
  <c r="F249" i="31"/>
  <c r="G19" i="33" s="1"/>
  <c r="D19" i="33"/>
  <c r="H19" i="33"/>
  <c r="H249" i="31"/>
  <c r="J19" i="33" s="1"/>
  <c r="N272" i="31"/>
  <c r="P20" i="33" s="1"/>
  <c r="F272" i="31"/>
  <c r="G20" i="33" s="1"/>
  <c r="I294" i="31"/>
  <c r="L318" i="31"/>
  <c r="H341" i="31"/>
  <c r="J29" i="33" s="1"/>
  <c r="J341" i="31"/>
  <c r="L29" i="33" s="1"/>
  <c r="N365" i="31"/>
  <c r="P30" i="33" s="1"/>
  <c r="D30" i="33"/>
  <c r="N385" i="31"/>
  <c r="P31" i="33" s="1"/>
  <c r="M408" i="31"/>
  <c r="H477" i="31"/>
  <c r="J41" i="33" s="1"/>
  <c r="F41" i="33"/>
  <c r="I477" i="31"/>
  <c r="K41" i="33" s="1"/>
  <c r="I501" i="31"/>
  <c r="K42" i="33" s="1"/>
  <c r="F42" i="33"/>
  <c r="D501" i="31"/>
  <c r="C42" i="33" s="1"/>
  <c r="G501" i="31"/>
  <c r="I42" i="33" s="1"/>
  <c r="L202" i="31"/>
  <c r="N17" i="33" s="1"/>
  <c r="K318" i="31"/>
  <c r="K590" i="31" s="1"/>
  <c r="M82" i="31"/>
  <c r="O6" i="33" s="1"/>
  <c r="I365" i="31"/>
  <c r="K30" i="33" s="1"/>
  <c r="I57" i="31"/>
  <c r="M57" i="31"/>
  <c r="O57" i="31"/>
  <c r="F178" i="31"/>
  <c r="H178" i="31"/>
  <c r="K178" i="31"/>
  <c r="K585" i="31" s="1"/>
  <c r="M202" i="31"/>
  <c r="O17" i="33" s="1"/>
  <c r="O202" i="31"/>
  <c r="Q17" i="33" s="1"/>
  <c r="D17" i="33"/>
  <c r="F17" i="33"/>
  <c r="N318" i="31"/>
  <c r="N590" i="31" s="1"/>
  <c r="M588" i="29" l="1"/>
  <c r="M603" i="29" s="1"/>
  <c r="I588" i="29"/>
  <c r="I603" i="29" s="1"/>
  <c r="L588" i="29"/>
  <c r="L603" i="29" s="1"/>
  <c r="H588" i="29"/>
  <c r="O588" i="29"/>
  <c r="O603" i="29" s="1"/>
  <c r="K222" i="29"/>
  <c r="K589" i="29" s="1"/>
  <c r="K588" i="29"/>
  <c r="K603" i="29" s="1"/>
  <c r="N588" i="29"/>
  <c r="N603" i="29" s="1"/>
  <c r="J222" i="29"/>
  <c r="J589" i="29" s="1"/>
  <c r="J588" i="29"/>
  <c r="H603" i="29"/>
  <c r="J603" i="29"/>
  <c r="M585" i="31"/>
  <c r="O585" i="31"/>
  <c r="L585" i="31"/>
  <c r="K431" i="31"/>
  <c r="N431" i="31"/>
  <c r="P18" i="33"/>
  <c r="E18" i="33"/>
  <c r="K18" i="33"/>
  <c r="N18" i="33"/>
  <c r="Q18" i="33"/>
  <c r="C18" i="33"/>
  <c r="L18" i="33"/>
  <c r="I18" i="33"/>
  <c r="J18" i="33"/>
  <c r="O18" i="33"/>
  <c r="M18" i="33"/>
  <c r="O32" i="33"/>
  <c r="L32" i="33"/>
  <c r="N222" i="29"/>
  <c r="N589" i="29" s="1"/>
  <c r="I222" i="29"/>
  <c r="O222" i="29"/>
  <c r="O589" i="29" s="1"/>
  <c r="M102" i="29"/>
  <c r="J125" i="29"/>
  <c r="L8" i="32" s="1"/>
  <c r="H222" i="29"/>
  <c r="L222" i="29"/>
  <c r="N17" i="32" s="1"/>
  <c r="N102" i="29"/>
  <c r="P7" i="32" s="1"/>
  <c r="H102" i="29"/>
  <c r="J7" i="32" s="1"/>
  <c r="I102" i="29"/>
  <c r="K7" i="32" s="1"/>
  <c r="I106" i="31"/>
  <c r="K7" i="33" s="1"/>
  <c r="F548" i="31"/>
  <c r="G44" i="33" s="1"/>
  <c r="L571" i="31"/>
  <c r="N45" i="33" s="1"/>
  <c r="I7" i="33"/>
  <c r="E548" i="31"/>
  <c r="E44" i="33" s="1"/>
  <c r="D178" i="31"/>
  <c r="C16" i="33" s="1"/>
  <c r="H430" i="31"/>
  <c r="J33" i="33" s="1"/>
  <c r="D430" i="31"/>
  <c r="C33" i="33" s="1"/>
  <c r="D82" i="31"/>
  <c r="C6" i="33" s="1"/>
  <c r="I548" i="31"/>
  <c r="K44" i="33" s="1"/>
  <c r="F365" i="31"/>
  <c r="G30" i="33" s="1"/>
  <c r="F318" i="31"/>
  <c r="J318" i="31"/>
  <c r="G318" i="31"/>
  <c r="E430" i="31"/>
  <c r="E33" i="33" s="1"/>
  <c r="D318" i="31"/>
  <c r="C28" i="33" s="1"/>
  <c r="L295" i="31"/>
  <c r="K295" i="31"/>
  <c r="K455" i="31" s="1"/>
  <c r="K595" i="31" s="1"/>
  <c r="M295" i="31"/>
  <c r="N571" i="31"/>
  <c r="P45" i="33" s="1"/>
  <c r="F294" i="31"/>
  <c r="G21" i="33" s="1"/>
  <c r="J430" i="31"/>
  <c r="L33" i="33" s="1"/>
  <c r="F430" i="31"/>
  <c r="G33" i="33" s="1"/>
  <c r="F82" i="31"/>
  <c r="G6" i="33" s="1"/>
  <c r="G430" i="31"/>
  <c r="I33" i="33" s="1"/>
  <c r="H318" i="31"/>
  <c r="C7" i="33"/>
  <c r="H548" i="31"/>
  <c r="J44" i="33" s="1"/>
  <c r="D28" i="33"/>
  <c r="I430" i="31"/>
  <c r="K33" i="33" s="1"/>
  <c r="G548" i="31"/>
  <c r="I44" i="33" s="1"/>
  <c r="D31" i="33"/>
  <c r="D9" i="33"/>
  <c r="H9" i="33"/>
  <c r="F5" i="33"/>
  <c r="H5" i="33"/>
  <c r="D5" i="33"/>
  <c r="Q5" i="33"/>
  <c r="K5" i="33"/>
  <c r="C5" i="33"/>
  <c r="O5" i="33"/>
  <c r="N41" i="32"/>
  <c r="P31" i="32"/>
  <c r="P5" i="32"/>
  <c r="Q9" i="32"/>
  <c r="O5" i="32"/>
  <c r="O16" i="32"/>
  <c r="Q31" i="32"/>
  <c r="Q5" i="32"/>
  <c r="L19" i="32"/>
  <c r="L41" i="32"/>
  <c r="L18" i="32"/>
  <c r="K17" i="32"/>
  <c r="L17" i="32"/>
  <c r="N9" i="32"/>
  <c r="Q18" i="32"/>
  <c r="Q19" i="32"/>
  <c r="N16" i="32"/>
  <c r="O7" i="32"/>
  <c r="G18" i="32"/>
  <c r="C9" i="32"/>
  <c r="L16" i="32"/>
  <c r="O41" i="32"/>
  <c r="K16" i="32"/>
  <c r="E9" i="32"/>
  <c r="K19" i="32"/>
  <c r="L7" i="32"/>
  <c r="J9" i="32"/>
  <c r="M16" i="32"/>
  <c r="J31" i="32"/>
  <c r="P8" i="32"/>
  <c r="N20" i="32"/>
  <c r="Q7" i="32"/>
  <c r="M7" i="32"/>
  <c r="Q20" i="32"/>
  <c r="P20" i="32"/>
  <c r="L43" i="34"/>
  <c r="L44" i="34" s="1"/>
  <c r="K41" i="32"/>
  <c r="M9" i="32"/>
  <c r="P18" i="32"/>
  <c r="Q16" i="32"/>
  <c r="L20" i="32"/>
  <c r="J41" i="32"/>
  <c r="J17" i="32"/>
  <c r="Q21" i="34"/>
  <c r="Q22" i="34" s="1"/>
  <c r="N18" i="32"/>
  <c r="O19" i="32"/>
  <c r="Q8" i="32"/>
  <c r="E31" i="32"/>
  <c r="C18" i="32"/>
  <c r="C8" i="32"/>
  <c r="G17" i="32"/>
  <c r="P16" i="32"/>
  <c r="K18" i="32"/>
  <c r="J8" i="32"/>
  <c r="I9" i="32"/>
  <c r="P9" i="32"/>
  <c r="E38" i="32"/>
  <c r="E19" i="32"/>
  <c r="J19" i="32"/>
  <c r="N21" i="34"/>
  <c r="N22" i="34" s="1"/>
  <c r="N25" i="34" s="1"/>
  <c r="G20" i="32"/>
  <c r="K9" i="32"/>
  <c r="N43" i="34"/>
  <c r="N44" i="34" s="1"/>
  <c r="N8" i="32"/>
  <c r="M20" i="32"/>
  <c r="J38" i="32"/>
  <c r="O20" i="32"/>
  <c r="N7" i="32"/>
  <c r="O17" i="32"/>
  <c r="O21" i="34"/>
  <c r="O22" i="34" s="1"/>
  <c r="O25" i="34" s="1"/>
  <c r="M17" i="32"/>
  <c r="O43" i="34"/>
  <c r="O44" i="34" s="1"/>
  <c r="Q43" i="34"/>
  <c r="Q44" i="34" s="1"/>
  <c r="P15" i="32"/>
  <c r="D15" i="32"/>
  <c r="L15" i="32"/>
  <c r="J292" i="29"/>
  <c r="K15" i="32"/>
  <c r="D317" i="29"/>
  <c r="C26" i="32" s="1"/>
  <c r="N15" i="32"/>
  <c r="F15" i="32"/>
  <c r="D4" i="32"/>
  <c r="M15" i="32"/>
  <c r="K292" i="29"/>
  <c r="H317" i="29"/>
  <c r="Q15" i="32"/>
  <c r="H15" i="32"/>
  <c r="I53" i="29"/>
  <c r="H4" i="32"/>
  <c r="E15" i="32"/>
  <c r="F4" i="32"/>
  <c r="J152" i="29"/>
  <c r="N26" i="32"/>
  <c r="M292" i="29"/>
  <c r="K21" i="33"/>
  <c r="J21" i="33"/>
  <c r="P21" i="33"/>
  <c r="Q21" i="33"/>
  <c r="Q22" i="33" s="1"/>
  <c r="Q23" i="33" s="1"/>
  <c r="O295" i="31"/>
  <c r="L21" i="33"/>
  <c r="M341" i="31"/>
  <c r="H53" i="29"/>
  <c r="E341" i="31"/>
  <c r="E29" i="33" s="1"/>
  <c r="G482" i="29"/>
  <c r="I38" i="32" s="1"/>
  <c r="E222" i="29"/>
  <c r="G125" i="29"/>
  <c r="H523" i="31"/>
  <c r="J43" i="33" s="1"/>
  <c r="F523" i="31"/>
  <c r="G43" i="33" s="1"/>
  <c r="G294" i="31"/>
  <c r="I21" i="33" s="1"/>
  <c r="F44" i="33"/>
  <c r="D341" i="31"/>
  <c r="C29" i="33" s="1"/>
  <c r="D44" i="33"/>
  <c r="E272" i="31"/>
  <c r="E20" i="33" s="1"/>
  <c r="D272" i="31"/>
  <c r="C20" i="33" s="1"/>
  <c r="H44" i="33"/>
  <c r="E477" i="31"/>
  <c r="E41" i="33" s="1"/>
  <c r="D154" i="31"/>
  <c r="C9" i="33" s="1"/>
  <c r="J548" i="31"/>
  <c r="L44" i="33" s="1"/>
  <c r="H129" i="31"/>
  <c r="J8" i="33" s="1"/>
  <c r="E125" i="29"/>
  <c r="D27" i="32"/>
  <c r="I317" i="29"/>
  <c r="D222" i="29"/>
  <c r="G200" i="29"/>
  <c r="H16" i="32"/>
  <c r="H200" i="29"/>
  <c r="G222" i="29"/>
  <c r="F152" i="29"/>
  <c r="G341" i="29"/>
  <c r="F341" i="29"/>
  <c r="E129" i="31"/>
  <c r="E8" i="33" s="1"/>
  <c r="E385" i="31"/>
  <c r="E31" i="33" s="1"/>
  <c r="F385" i="31"/>
  <c r="G31" i="33" s="1"/>
  <c r="L341" i="31"/>
  <c r="N29" i="33" s="1"/>
  <c r="E318" i="31"/>
  <c r="E590" i="31" s="1"/>
  <c r="N202" i="31"/>
  <c r="N585" i="31" s="1"/>
  <c r="K57" i="31"/>
  <c r="D523" i="31"/>
  <c r="C43" i="33" s="1"/>
  <c r="D548" i="31"/>
  <c r="C44" i="33" s="1"/>
  <c r="F129" i="31"/>
  <c r="G8" i="33" s="1"/>
  <c r="N57" i="31"/>
  <c r="D129" i="31"/>
  <c r="C8" i="33" s="1"/>
  <c r="H38" i="32"/>
  <c r="E200" i="29"/>
  <c r="D549" i="29"/>
  <c r="E523" i="31"/>
  <c r="E43" i="33" s="1"/>
  <c r="E82" i="31"/>
  <c r="I385" i="31"/>
  <c r="K31" i="33" s="1"/>
  <c r="D102" i="29"/>
  <c r="K53" i="29"/>
  <c r="I125" i="29"/>
  <c r="H246" i="29"/>
  <c r="F482" i="29"/>
  <c r="G102" i="29"/>
  <c r="G177" i="29"/>
  <c r="F434" i="29"/>
  <c r="G246" i="29"/>
  <c r="G317" i="29"/>
  <c r="E341" i="29"/>
  <c r="F549" i="29"/>
  <c r="G434" i="29"/>
  <c r="D177" i="29"/>
  <c r="F317" i="29"/>
  <c r="G549" i="29"/>
  <c r="I41" i="32" s="1"/>
  <c r="D434" i="29"/>
  <c r="O341" i="31"/>
  <c r="Q29" i="33" s="1"/>
  <c r="K549" i="29"/>
  <c r="H28" i="33"/>
  <c r="D37" i="32"/>
  <c r="J202" i="31"/>
  <c r="J585" i="31" s="1"/>
  <c r="Q28" i="33"/>
  <c r="D26" i="32"/>
  <c r="H37" i="32"/>
  <c r="F40" i="33"/>
  <c r="G16" i="33"/>
  <c r="J16" i="33"/>
  <c r="M28" i="33"/>
  <c r="M34" i="33" s="1"/>
  <c r="M35" i="33" s="1"/>
  <c r="E178" i="31"/>
  <c r="E585" i="31" s="1"/>
  <c r="D291" i="29"/>
  <c r="D587" i="29"/>
  <c r="D588" i="29" s="1"/>
  <c r="F37" i="32"/>
  <c r="H16" i="33"/>
  <c r="H40" i="33"/>
  <c r="D588" i="31"/>
  <c r="D589" i="31" s="1"/>
  <c r="I291" i="29"/>
  <c r="I178" i="31"/>
  <c r="I585" i="31" s="1"/>
  <c r="F57" i="31"/>
  <c r="J57" i="31"/>
  <c r="G57" i="31"/>
  <c r="H57" i="31"/>
  <c r="G269" i="29"/>
  <c r="P28" i="33"/>
  <c r="P34" i="33" s="1"/>
  <c r="P35" i="33" s="1"/>
  <c r="M16" i="33"/>
  <c r="N28" i="33"/>
  <c r="P26" i="32"/>
  <c r="D16" i="33"/>
  <c r="I16" i="33"/>
  <c r="G53" i="29"/>
  <c r="Q26" i="32"/>
  <c r="L26" i="32"/>
  <c r="E571" i="29"/>
  <c r="D53" i="29"/>
  <c r="D40" i="33"/>
  <c r="F16" i="33"/>
  <c r="O22" i="33"/>
  <c r="O23" i="33" s="1"/>
  <c r="H291" i="29"/>
  <c r="G291" i="29"/>
  <c r="D593" i="31"/>
  <c r="D594" i="31" s="1"/>
  <c r="N22" i="33"/>
  <c r="N23" i="33" s="1"/>
  <c r="N27" i="33" s="1"/>
  <c r="H202" i="31"/>
  <c r="J17" i="33" s="1"/>
  <c r="D583" i="31"/>
  <c r="D584" i="31" s="1"/>
  <c r="J53" i="29"/>
  <c r="O38" i="32"/>
  <c r="L31" i="32"/>
  <c r="F26" i="32"/>
  <c r="E26" i="32"/>
  <c r="F200" i="29"/>
  <c r="F589" i="29" s="1"/>
  <c r="E246" i="29"/>
  <c r="F125" i="29"/>
  <c r="F102" i="29"/>
  <c r="G341" i="31"/>
  <c r="I29" i="33" s="1"/>
  <c r="F341" i="31"/>
  <c r="G29" i="33" s="1"/>
  <c r="H408" i="31"/>
  <c r="F224" i="31"/>
  <c r="F585" i="31" s="1"/>
  <c r="D202" i="31"/>
  <c r="C17" i="33" s="1"/>
  <c r="I589" i="29" l="1"/>
  <c r="E589" i="29"/>
  <c r="G589" i="29"/>
  <c r="J26" i="32"/>
  <c r="H589" i="29"/>
  <c r="L589" i="29"/>
  <c r="M431" i="31"/>
  <c r="M590" i="31"/>
  <c r="J28" i="33"/>
  <c r="H590" i="31"/>
  <c r="G590" i="31"/>
  <c r="F590" i="31"/>
  <c r="L590" i="31"/>
  <c r="I590" i="31"/>
  <c r="L28" i="33"/>
  <c r="J590" i="31"/>
  <c r="G585" i="31"/>
  <c r="H585" i="31"/>
  <c r="O590" i="31"/>
  <c r="M22" i="33"/>
  <c r="M23" i="33" s="1"/>
  <c r="M40" i="33"/>
  <c r="M46" i="33" s="1"/>
  <c r="M47" i="33" s="1"/>
  <c r="K572" i="31"/>
  <c r="M455" i="31"/>
  <c r="G18" i="33"/>
  <c r="O292" i="29"/>
  <c r="N292" i="29"/>
  <c r="L431" i="31"/>
  <c r="L455" i="31" s="1"/>
  <c r="L595" i="31" s="1"/>
  <c r="E431" i="31"/>
  <c r="I28" i="33"/>
  <c r="I34" i="33" s="1"/>
  <c r="I35" i="33" s="1"/>
  <c r="G431" i="31"/>
  <c r="G28" i="33"/>
  <c r="G34" i="33" s="1"/>
  <c r="G35" i="33" s="1"/>
  <c r="F431" i="31"/>
  <c r="J431" i="31"/>
  <c r="I431" i="31"/>
  <c r="O431" i="31"/>
  <c r="O455" i="31" s="1"/>
  <c r="O595" i="31" s="1"/>
  <c r="J32" i="33"/>
  <c r="H431" i="31"/>
  <c r="P17" i="32"/>
  <c r="Q17" i="32"/>
  <c r="Q21" i="32" s="1"/>
  <c r="L292" i="29"/>
  <c r="I22" i="33"/>
  <c r="I23" i="33" s="1"/>
  <c r="K34" i="33"/>
  <c r="K35" i="33" s="1"/>
  <c r="L34" i="33"/>
  <c r="L35" i="33" s="1"/>
  <c r="N21" i="32"/>
  <c r="N22" i="32" s="1"/>
  <c r="N25" i="32" s="1"/>
  <c r="M21" i="32"/>
  <c r="M22" i="32" s="1"/>
  <c r="L21" i="32"/>
  <c r="L22" i="32" s="1"/>
  <c r="O21" i="32"/>
  <c r="O22" i="32" s="1"/>
  <c r="E295" i="31"/>
  <c r="E455" i="31" s="1"/>
  <c r="E595" i="31" s="1"/>
  <c r="P17" i="33"/>
  <c r="P22" i="33" s="1"/>
  <c r="P23" i="33" s="1"/>
  <c r="O29" i="33"/>
  <c r="O34" i="33" s="1"/>
  <c r="O35" i="33" s="1"/>
  <c r="F295" i="31"/>
  <c r="F455" i="31" s="1"/>
  <c r="F595" i="31" s="1"/>
  <c r="D431" i="31"/>
  <c r="D455" i="31" s="1"/>
  <c r="D295" i="31"/>
  <c r="E6" i="33"/>
  <c r="E28" i="33"/>
  <c r="E34" i="33" s="1"/>
  <c r="E35" i="33" s="1"/>
  <c r="J295" i="31"/>
  <c r="N295" i="31"/>
  <c r="N455" i="31" s="1"/>
  <c r="H295" i="31"/>
  <c r="I295" i="31"/>
  <c r="I455" i="31" s="1"/>
  <c r="G295" i="31"/>
  <c r="G455" i="31" s="1"/>
  <c r="G595" i="31" s="1"/>
  <c r="I5" i="33"/>
  <c r="J5" i="33"/>
  <c r="P5" i="33"/>
  <c r="M5" i="33"/>
  <c r="M43" i="34"/>
  <c r="M44" i="34" s="1"/>
  <c r="G21" i="34"/>
  <c r="G22" i="34" s="1"/>
  <c r="L5" i="32"/>
  <c r="G7" i="32"/>
  <c r="G8" i="32"/>
  <c r="E18" i="32"/>
  <c r="I20" i="32"/>
  <c r="I5" i="32"/>
  <c r="J43" i="34"/>
  <c r="J44" i="34" s="1"/>
  <c r="C32" i="34"/>
  <c r="C33" i="34" s="1"/>
  <c r="I31" i="32"/>
  <c r="G41" i="32"/>
  <c r="E27" i="32"/>
  <c r="I18" i="32"/>
  <c r="G38" i="32"/>
  <c r="K8" i="32"/>
  <c r="C41" i="32"/>
  <c r="I27" i="32"/>
  <c r="I16" i="32"/>
  <c r="C17" i="32"/>
  <c r="C21" i="34"/>
  <c r="C22" i="34" s="1"/>
  <c r="C25" i="34" s="1"/>
  <c r="E8" i="32"/>
  <c r="E10" i="34"/>
  <c r="E11" i="34" s="1"/>
  <c r="I8" i="32"/>
  <c r="L9" i="32"/>
  <c r="K43" i="34"/>
  <c r="K44" i="34" s="1"/>
  <c r="N10" i="34"/>
  <c r="M10" i="34"/>
  <c r="M21" i="34"/>
  <c r="M22" i="34" s="1"/>
  <c r="Q10" i="34"/>
  <c r="P10" i="34"/>
  <c r="P21" i="34"/>
  <c r="P22" i="34" s="1"/>
  <c r="P43" i="34"/>
  <c r="P44" i="34" s="1"/>
  <c r="J20" i="32"/>
  <c r="E43" i="34"/>
  <c r="E44" i="34" s="1"/>
  <c r="I19" i="32"/>
  <c r="I292" i="29"/>
  <c r="C20" i="32"/>
  <c r="C31" i="32"/>
  <c r="G31" i="32"/>
  <c r="I7" i="32"/>
  <c r="J18" i="32"/>
  <c r="O32" i="34"/>
  <c r="O33" i="34" s="1"/>
  <c r="O10" i="34"/>
  <c r="C7" i="32"/>
  <c r="C10" i="34"/>
  <c r="E16" i="32"/>
  <c r="G27" i="32"/>
  <c r="G9" i="32"/>
  <c r="I17" i="32"/>
  <c r="E17" i="32"/>
  <c r="N32" i="34"/>
  <c r="N33" i="34" s="1"/>
  <c r="Q32" i="34"/>
  <c r="Q33" i="34" s="1"/>
  <c r="J5" i="32"/>
  <c r="J10" i="34"/>
  <c r="K5" i="32"/>
  <c r="E21" i="34"/>
  <c r="E22" i="34" s="1"/>
  <c r="G10" i="34"/>
  <c r="K21" i="34"/>
  <c r="K22" i="34" s="1"/>
  <c r="L21" i="34"/>
  <c r="L22" i="34" s="1"/>
  <c r="G16" i="32"/>
  <c r="G21" i="32" s="1"/>
  <c r="F292" i="29"/>
  <c r="C5" i="32"/>
  <c r="I26" i="32"/>
  <c r="K26" i="32"/>
  <c r="E42" i="32"/>
  <c r="M41" i="32"/>
  <c r="I15" i="32"/>
  <c r="G292" i="29"/>
  <c r="J16" i="32"/>
  <c r="H292" i="29"/>
  <c r="K20" i="32"/>
  <c r="K21" i="32" s="1"/>
  <c r="K22" i="32" s="1"/>
  <c r="G26" i="32"/>
  <c r="C15" i="32"/>
  <c r="D292" i="29"/>
  <c r="M5" i="32"/>
  <c r="H26" i="32"/>
  <c r="E292" i="29"/>
  <c r="D590" i="31"/>
  <c r="G22" i="33"/>
  <c r="G23" i="33" s="1"/>
  <c r="C34" i="33"/>
  <c r="C35" i="33" s="1"/>
  <c r="C39" i="33" s="1"/>
  <c r="J34" i="33"/>
  <c r="J35" i="33" s="1"/>
  <c r="F4" i="33"/>
  <c r="C22" i="33"/>
  <c r="C23" i="33" s="1"/>
  <c r="N34" i="33"/>
  <c r="N35" i="33" s="1"/>
  <c r="N39" i="33" s="1"/>
  <c r="Q34" i="33"/>
  <c r="Q35" i="33" s="1"/>
  <c r="J22" i="33"/>
  <c r="J23" i="33" s="1"/>
  <c r="P21" i="32"/>
  <c r="P22" i="32" s="1"/>
  <c r="F28" i="33"/>
  <c r="D589" i="29"/>
  <c r="H4" i="33"/>
  <c r="K16" i="33"/>
  <c r="K22" i="33" s="1"/>
  <c r="K23" i="33" s="1"/>
  <c r="E16" i="33"/>
  <c r="E22" i="33" s="1"/>
  <c r="E23" i="33" s="1"/>
  <c r="L17" i="33"/>
  <c r="L22" i="33" s="1"/>
  <c r="L23" i="33" s="1"/>
  <c r="G5" i="33"/>
  <c r="L5" i="33"/>
  <c r="D4" i="33"/>
  <c r="O27" i="33"/>
  <c r="D585" i="31"/>
  <c r="K40" i="33" l="1"/>
  <c r="K46" i="33" s="1"/>
  <c r="K47" i="33" s="1"/>
  <c r="I595" i="31"/>
  <c r="P40" i="33"/>
  <c r="P46" i="33" s="1"/>
  <c r="P47" i="33" s="1"/>
  <c r="N595" i="31"/>
  <c r="O40" i="33"/>
  <c r="O46" i="33" s="1"/>
  <c r="O47" i="33" s="1"/>
  <c r="M595" i="31"/>
  <c r="M572" i="31"/>
  <c r="I40" i="33"/>
  <c r="I46" i="33" s="1"/>
  <c r="I47" i="33" s="1"/>
  <c r="G572" i="31"/>
  <c r="G40" i="33"/>
  <c r="G46" i="33" s="1"/>
  <c r="G47" i="33" s="1"/>
  <c r="F572" i="31"/>
  <c r="E40" i="33"/>
  <c r="E46" i="33" s="1"/>
  <c r="E47" i="33" s="1"/>
  <c r="E572" i="31"/>
  <c r="C40" i="33"/>
  <c r="C46" i="33" s="1"/>
  <c r="C47" i="33" s="1"/>
  <c r="C51" i="33" s="1"/>
  <c r="D572" i="31"/>
  <c r="D595" i="31"/>
  <c r="O572" i="31"/>
  <c r="Q40" i="33"/>
  <c r="Q46" i="33" s="1"/>
  <c r="Q47" i="33" s="1"/>
  <c r="N40" i="33"/>
  <c r="N46" i="33" s="1"/>
  <c r="N47" i="33" s="1"/>
  <c r="L572" i="31"/>
  <c r="H455" i="31"/>
  <c r="H595" i="31" s="1"/>
  <c r="J455" i="31"/>
  <c r="J595" i="31" s="1"/>
  <c r="I572" i="31"/>
  <c r="N572" i="31"/>
  <c r="J21" i="32"/>
  <c r="J22" i="32" s="1"/>
  <c r="O25" i="32"/>
  <c r="C21" i="32"/>
  <c r="C22" i="32" s="1"/>
  <c r="C25" i="32" s="1"/>
  <c r="E21" i="32"/>
  <c r="E22" i="32" s="1"/>
  <c r="I21" i="32"/>
  <c r="I22" i="32" s="1"/>
  <c r="E25" i="34"/>
  <c r="K32" i="34"/>
  <c r="K33" i="34" s="1"/>
  <c r="C43" i="34"/>
  <c r="C44" i="34" s="1"/>
  <c r="G43" i="34"/>
  <c r="G44" i="34" s="1"/>
  <c r="J32" i="34"/>
  <c r="J33" i="34" s="1"/>
  <c r="L10" i="34"/>
  <c r="L11" i="34" s="1"/>
  <c r="C11" i="34"/>
  <c r="C48" i="34"/>
  <c r="O11" i="34"/>
  <c r="O48" i="34"/>
  <c r="O49" i="34" s="1"/>
  <c r="L32" i="34"/>
  <c r="L33" i="34" s="1"/>
  <c r="M32" i="34"/>
  <c r="M33" i="34" s="1"/>
  <c r="J11" i="34"/>
  <c r="I11" i="34"/>
  <c r="K10" i="34"/>
  <c r="Q11" i="34"/>
  <c r="Q48" i="34"/>
  <c r="Q49" i="34" s="1"/>
  <c r="M11" i="34"/>
  <c r="M48" i="34"/>
  <c r="M49" i="34" s="1"/>
  <c r="N11" i="34"/>
  <c r="N48" i="34"/>
  <c r="N49" i="34" s="1"/>
  <c r="L48" i="34"/>
  <c r="L49" i="34" s="1"/>
  <c r="J21" i="34"/>
  <c r="J22" i="34" s="1"/>
  <c r="I44" i="34"/>
  <c r="I22" i="34"/>
  <c r="G25" i="34"/>
  <c r="P32" i="34"/>
  <c r="P33" i="34" s="1"/>
  <c r="G11" i="34"/>
  <c r="P11" i="34"/>
  <c r="E39" i="33"/>
  <c r="Q22" i="32"/>
  <c r="G39" i="33"/>
  <c r="O39" i="33"/>
  <c r="G27" i="33"/>
  <c r="C27" i="33"/>
  <c r="E27" i="33"/>
  <c r="G22" i="32"/>
  <c r="E51" i="33" l="1"/>
  <c r="G51" i="33"/>
  <c r="L40" i="33"/>
  <c r="L46" i="33" s="1"/>
  <c r="L47" i="33" s="1"/>
  <c r="J572" i="31"/>
  <c r="N51" i="33"/>
  <c r="O51" i="33"/>
  <c r="J40" i="33"/>
  <c r="J46" i="33" s="1"/>
  <c r="J47" i="33" s="1"/>
  <c r="H572" i="31"/>
  <c r="E25" i="32"/>
  <c r="G25" i="32"/>
  <c r="P48" i="34"/>
  <c r="P49" i="34" s="1"/>
  <c r="E32" i="34"/>
  <c r="I33" i="34"/>
  <c r="K11" i="34"/>
  <c r="K48" i="34"/>
  <c r="K49" i="34" s="1"/>
  <c r="C49" i="34"/>
  <c r="G32" i="34"/>
  <c r="J48" i="34"/>
  <c r="J49" i="34" s="1"/>
  <c r="P571" i="31"/>
  <c r="P595" i="31" s="1"/>
  <c r="P572" i="31" l="1"/>
  <c r="I48" i="34"/>
  <c r="I49" i="34" s="1"/>
  <c r="E33" i="34"/>
  <c r="E48" i="34"/>
  <c r="G33" i="34"/>
  <c r="G48" i="34"/>
  <c r="R45" i="33"/>
  <c r="R46" i="33" s="1"/>
  <c r="R47" i="33" s="1"/>
  <c r="E49" i="34" l="1"/>
  <c r="G49" i="34"/>
  <c r="D28" i="32"/>
  <c r="P365" i="29"/>
  <c r="Q365" i="29"/>
  <c r="H365" i="29"/>
  <c r="E365" i="29"/>
  <c r="J365" i="29"/>
  <c r="O365" i="29"/>
  <c r="N365" i="29"/>
  <c r="K365" i="29"/>
  <c r="F365" i="29"/>
  <c r="D365" i="29"/>
  <c r="M365" i="29"/>
  <c r="G365" i="29"/>
  <c r="I365" i="29"/>
  <c r="L365" i="29"/>
  <c r="K28" i="32" l="1"/>
  <c r="G28" i="32"/>
  <c r="Q28" i="32"/>
  <c r="M28" i="32"/>
  <c r="E28" i="32"/>
  <c r="N28" i="32"/>
  <c r="C28" i="32"/>
  <c r="O28" i="32"/>
  <c r="P28" i="32"/>
  <c r="J28" i="32"/>
  <c r="L28" i="32"/>
  <c r="I28" i="32"/>
  <c r="S28" i="32"/>
  <c r="R28" i="32"/>
  <c r="H28" i="32"/>
  <c r="F28" i="32"/>
  <c r="G410" i="29"/>
  <c r="I30" i="32" s="1"/>
  <c r="J410" i="29"/>
  <c r="L30" i="32" s="1"/>
  <c r="F410" i="29"/>
  <c r="G30" i="32" s="1"/>
  <c r="L410" i="29"/>
  <c r="N30" i="32" s="1"/>
  <c r="I410" i="29"/>
  <c r="K30" i="32" s="1"/>
  <c r="Q410" i="29"/>
  <c r="S30" i="32" s="1"/>
  <c r="P410" i="29"/>
  <c r="R30" i="32" s="1"/>
  <c r="O410" i="29"/>
  <c r="Q30" i="32" s="1"/>
  <c r="H410" i="29"/>
  <c r="J30" i="32" s="1"/>
  <c r="N410" i="29"/>
  <c r="P30" i="32" s="1"/>
  <c r="K410" i="29"/>
  <c r="M30" i="32" s="1"/>
  <c r="M410" i="29"/>
  <c r="O30" i="32" s="1"/>
  <c r="E410" i="29"/>
  <c r="E30" i="32" s="1"/>
  <c r="D410" i="29"/>
  <c r="F526" i="29" l="1"/>
  <c r="D526" i="29"/>
  <c r="E526" i="29"/>
  <c r="G526" i="29"/>
  <c r="F30" i="32"/>
  <c r="C30" i="32"/>
  <c r="H30" i="32"/>
  <c r="D30" i="32"/>
  <c r="I40" i="32" l="1"/>
  <c r="E40" i="32"/>
  <c r="C40" i="32"/>
  <c r="G40" i="32"/>
  <c r="G31" i="31" l="1"/>
  <c r="G580" i="31" s="1"/>
  <c r="G599" i="31" s="1"/>
  <c r="I4" i="33" l="1"/>
  <c r="I10" i="33" s="1"/>
  <c r="I52" i="33" s="1"/>
  <c r="I53" i="33" s="1"/>
  <c r="G155" i="31"/>
  <c r="G573" i="31" s="1"/>
  <c r="I11" i="33" l="1"/>
  <c r="G79" i="29"/>
  <c r="I6" i="32" s="1"/>
  <c r="G30" i="29"/>
  <c r="G584" i="29" s="1"/>
  <c r="G153" i="29" l="1"/>
  <c r="I4" i="32"/>
  <c r="I10" i="32" s="1"/>
  <c r="I11" i="32" l="1"/>
  <c r="G387" i="29"/>
  <c r="G594" i="29" s="1"/>
  <c r="G435" i="29" l="1"/>
  <c r="I29" i="32"/>
  <c r="I32" i="32" s="1"/>
  <c r="I33" i="32" l="1"/>
  <c r="K387" i="29"/>
  <c r="K594" i="29" s="1"/>
  <c r="D592" i="29"/>
  <c r="D593" i="29" s="1"/>
  <c r="N387" i="29"/>
  <c r="O387" i="29"/>
  <c r="O594" i="29" s="1"/>
  <c r="H387" i="29"/>
  <c r="I387" i="29"/>
  <c r="I594" i="29" s="1"/>
  <c r="D387" i="29"/>
  <c r="D435" i="29" s="1"/>
  <c r="P387" i="29"/>
  <c r="P594" i="29" s="1"/>
  <c r="M387" i="29"/>
  <c r="L387" i="29"/>
  <c r="L594" i="29" s="1"/>
  <c r="J387" i="29"/>
  <c r="Q387" i="29"/>
  <c r="F387" i="29"/>
  <c r="E387" i="29"/>
  <c r="E29" i="32" l="1"/>
  <c r="E32" i="32" s="1"/>
  <c r="E33" i="32" s="1"/>
  <c r="E594" i="29"/>
  <c r="S29" i="32"/>
  <c r="S32" i="32" s="1"/>
  <c r="S33" i="32" s="1"/>
  <c r="Q594" i="29"/>
  <c r="G29" i="32"/>
  <c r="G32" i="32" s="1"/>
  <c r="G33" i="32" s="1"/>
  <c r="F594" i="29"/>
  <c r="L29" i="32"/>
  <c r="L32" i="32" s="1"/>
  <c r="L33" i="32" s="1"/>
  <c r="J594" i="29"/>
  <c r="M435" i="29"/>
  <c r="M594" i="29"/>
  <c r="H435" i="29"/>
  <c r="H594" i="29"/>
  <c r="N435" i="29"/>
  <c r="N594" i="29"/>
  <c r="P29" i="32"/>
  <c r="P32" i="32" s="1"/>
  <c r="P33" i="32" s="1"/>
  <c r="M29" i="32"/>
  <c r="M32" i="32" s="1"/>
  <c r="M33" i="32" s="1"/>
  <c r="O29" i="32"/>
  <c r="O32" i="32" s="1"/>
  <c r="O33" i="32" s="1"/>
  <c r="Q29" i="32"/>
  <c r="Q32" i="32" s="1"/>
  <c r="Q33" i="32" s="1"/>
  <c r="E435" i="29"/>
  <c r="F435" i="29"/>
  <c r="J435" i="29"/>
  <c r="Q435" i="29"/>
  <c r="J29" i="32"/>
  <c r="J32" i="32" s="1"/>
  <c r="J33" i="32" s="1"/>
  <c r="L435" i="29"/>
  <c r="I435" i="29"/>
  <c r="D594" i="29"/>
  <c r="K435" i="29"/>
  <c r="O435" i="29"/>
  <c r="P435" i="29"/>
  <c r="N29" i="32"/>
  <c r="N32" i="32" s="1"/>
  <c r="N33" i="32" s="1"/>
  <c r="N36" i="32" s="1"/>
  <c r="R29" i="32"/>
  <c r="R32" i="32" s="1"/>
  <c r="R33" i="32" s="1"/>
  <c r="C29" i="32"/>
  <c r="C32" i="32" s="1"/>
  <c r="C33" i="32" s="1"/>
  <c r="C36" i="32" s="1"/>
  <c r="K29" i="32"/>
  <c r="K32" i="32" s="1"/>
  <c r="K33" i="32" s="1"/>
  <c r="O36" i="32" l="1"/>
  <c r="G36" i="32"/>
  <c r="Q526" i="29"/>
  <c r="E36" i="32"/>
  <c r="S40" i="32" l="1"/>
  <c r="H31" i="31" l="1"/>
  <c r="D578" i="31"/>
  <c r="D597" i="31" s="1"/>
  <c r="P31" i="31"/>
  <c r="I31" i="31"/>
  <c r="K31" i="31"/>
  <c r="D31" i="31"/>
  <c r="C4" i="33" s="1"/>
  <c r="C10" i="33" s="1"/>
  <c r="N31" i="31"/>
  <c r="N580" i="31" s="1"/>
  <c r="N599" i="31" s="1"/>
  <c r="Q31" i="31"/>
  <c r="Q580" i="31" s="1"/>
  <c r="Q599" i="31" s="1"/>
  <c r="F31" i="31"/>
  <c r="J31" i="31"/>
  <c r="O31" i="31"/>
  <c r="O580" i="31" s="1"/>
  <c r="O599" i="31" s="1"/>
  <c r="L31" i="31"/>
  <c r="M31" i="31"/>
  <c r="M580" i="31" s="1"/>
  <c r="M599" i="31" s="1"/>
  <c r="E31" i="31"/>
  <c r="E155" i="31" l="1"/>
  <c r="E573" i="31" s="1"/>
  <c r="E580" i="31"/>
  <c r="E599" i="31" s="1"/>
  <c r="N4" i="33"/>
  <c r="N10" i="33" s="1"/>
  <c r="N11" i="33" s="1"/>
  <c r="N15" i="33" s="1"/>
  <c r="L580" i="31"/>
  <c r="L599" i="31" s="1"/>
  <c r="J155" i="31"/>
  <c r="J573" i="31" s="1"/>
  <c r="J580" i="31"/>
  <c r="J599" i="31" s="1"/>
  <c r="K4" i="33"/>
  <c r="G4" i="33"/>
  <c r="G10" i="33" s="1"/>
  <c r="F580" i="31"/>
  <c r="F599" i="31" s="1"/>
  <c r="M4" i="33"/>
  <c r="M10" i="33" s="1"/>
  <c r="M11" i="33" s="1"/>
  <c r="K580" i="31"/>
  <c r="K599" i="31" s="1"/>
  <c r="P155" i="31"/>
  <c r="P573" i="31" s="1"/>
  <c r="P580" i="31"/>
  <c r="P599" i="31" s="1"/>
  <c r="J4" i="33"/>
  <c r="J10" i="33" s="1"/>
  <c r="H580" i="31"/>
  <c r="H599" i="31" s="1"/>
  <c r="Q4" i="33"/>
  <c r="Q10" i="33" s="1"/>
  <c r="Q11" i="33" s="1"/>
  <c r="N155" i="31"/>
  <c r="N573" i="31" s="1"/>
  <c r="E4" i="33"/>
  <c r="E10" i="33" s="1"/>
  <c r="E52" i="33" s="1"/>
  <c r="F155" i="31"/>
  <c r="F573" i="31" s="1"/>
  <c r="S4" i="33"/>
  <c r="S10" i="33" s="1"/>
  <c r="S11" i="33" s="1"/>
  <c r="M52" i="33"/>
  <c r="M53" i="33" s="1"/>
  <c r="C52" i="33"/>
  <c r="C11" i="33"/>
  <c r="C15" i="33" s="1"/>
  <c r="M155" i="31"/>
  <c r="M573" i="31" s="1"/>
  <c r="L155" i="31"/>
  <c r="L573" i="31" s="1"/>
  <c r="R4" i="33"/>
  <c r="R10" i="33" s="1"/>
  <c r="L4" i="33"/>
  <c r="L10" i="33" s="1"/>
  <c r="O4" i="33"/>
  <c r="O10" i="33" s="1"/>
  <c r="N52" i="33"/>
  <c r="N53" i="33" s="1"/>
  <c r="N56" i="33" s="1"/>
  <c r="G52" i="33"/>
  <c r="G11" i="33"/>
  <c r="O155" i="31"/>
  <c r="O573" i="31" s="1"/>
  <c r="D580" i="31"/>
  <c r="D599" i="31" s="1"/>
  <c r="D155" i="31"/>
  <c r="D573" i="31" s="1"/>
  <c r="K155" i="31"/>
  <c r="K573" i="31" s="1"/>
  <c r="P4" i="33"/>
  <c r="P10" i="33" s="1"/>
  <c r="Q155" i="31"/>
  <c r="Q573" i="31" s="1"/>
  <c r="J11" i="33"/>
  <c r="J52" i="33"/>
  <c r="J53" i="33" s="1"/>
  <c r="D579" i="31"/>
  <c r="D598" i="31" s="1"/>
  <c r="H155" i="31"/>
  <c r="H573" i="31" s="1"/>
  <c r="E11" i="33" l="1"/>
  <c r="G15" i="33"/>
  <c r="Q52" i="33"/>
  <c r="Q53" i="33" s="1"/>
  <c r="S52" i="33"/>
  <c r="S53" i="33" s="1"/>
  <c r="E15" i="33"/>
  <c r="O52" i="33"/>
  <c r="O53" i="33" s="1"/>
  <c r="O56" i="33" s="1"/>
  <c r="O11" i="33"/>
  <c r="O15" i="33" s="1"/>
  <c r="R11" i="33"/>
  <c r="R52" i="33"/>
  <c r="R53" i="33" s="1"/>
  <c r="E53" i="33"/>
  <c r="E56" i="33"/>
  <c r="P52" i="33"/>
  <c r="P53" i="33" s="1"/>
  <c r="P11" i="33"/>
  <c r="G56" i="33"/>
  <c r="G53" i="33"/>
  <c r="L11" i="33"/>
  <c r="L52" i="33"/>
  <c r="L53" i="33" s="1"/>
  <c r="C53" i="33"/>
  <c r="C56" i="33"/>
  <c r="F30" i="29"/>
  <c r="P30" i="29"/>
  <c r="H30" i="29"/>
  <c r="O30" i="29"/>
  <c r="Q30" i="29"/>
  <c r="J30" i="29"/>
  <c r="L30" i="29"/>
  <c r="D30" i="29"/>
  <c r="I30" i="29"/>
  <c r="N30" i="29"/>
  <c r="K30" i="29"/>
  <c r="E30" i="29"/>
  <c r="M30" i="29"/>
  <c r="O4" i="32" l="1"/>
  <c r="M4" i="32"/>
  <c r="P4" i="32"/>
  <c r="L4" i="32"/>
  <c r="R4" i="32"/>
  <c r="E4" i="32"/>
  <c r="C4" i="32"/>
  <c r="N4" i="32"/>
  <c r="Q4" i="32"/>
  <c r="S4" i="32"/>
  <c r="J4" i="32"/>
  <c r="K4" i="32"/>
  <c r="G4" i="32"/>
  <c r="D582" i="29"/>
  <c r="I79" i="29"/>
  <c r="I584" i="29" s="1"/>
  <c r="D79" i="29"/>
  <c r="D153" i="29" s="1"/>
  <c r="J79" i="29"/>
  <c r="J584" i="29" s="1"/>
  <c r="P79" i="29"/>
  <c r="P584" i="29" s="1"/>
  <c r="H79" i="29"/>
  <c r="H584" i="29" s="1"/>
  <c r="L79" i="29"/>
  <c r="N6" i="32" s="1"/>
  <c r="O79" i="29"/>
  <c r="O584" i="29" s="1"/>
  <c r="E79" i="29"/>
  <c r="E6" i="32" s="1"/>
  <c r="M79" i="29"/>
  <c r="M584" i="29" s="1"/>
  <c r="K79" i="29"/>
  <c r="K584" i="29" s="1"/>
  <c r="N79" i="29"/>
  <c r="N584" i="29" s="1"/>
  <c r="Q79" i="29"/>
  <c r="S6" i="32" s="1"/>
  <c r="F79" i="29"/>
  <c r="F584" i="29" s="1"/>
  <c r="E584" i="29" l="1"/>
  <c r="Q584" i="29"/>
  <c r="L584" i="29"/>
  <c r="S10" i="32"/>
  <c r="E10" i="32"/>
  <c r="N10" i="32"/>
  <c r="N11" i="32" s="1"/>
  <c r="N14" i="32" s="1"/>
  <c r="R6" i="32"/>
  <c r="R10" i="32" s="1"/>
  <c r="R11" i="32" s="1"/>
  <c r="M6" i="32"/>
  <c r="M10" i="32" s="1"/>
  <c r="M11" i="32" s="1"/>
  <c r="C6" i="32"/>
  <c r="C10" i="32" s="1"/>
  <c r="C11" i="32" s="1"/>
  <c r="C14" i="32" s="1"/>
  <c r="D583" i="29"/>
  <c r="E11" i="32"/>
  <c r="S11" i="32"/>
  <c r="F153" i="29"/>
  <c r="N153" i="29"/>
  <c r="M153" i="29"/>
  <c r="O153" i="29"/>
  <c r="H153" i="29"/>
  <c r="J153" i="29"/>
  <c r="L6" i="32"/>
  <c r="L10" i="32" s="1"/>
  <c r="I153" i="29"/>
  <c r="K6" i="32"/>
  <c r="K10" i="32" s="1"/>
  <c r="G6" i="32"/>
  <c r="G10" i="32" s="1"/>
  <c r="Q153" i="29"/>
  <c r="P6" i="32"/>
  <c r="P10" i="32" s="1"/>
  <c r="O6" i="32"/>
  <c r="O10" i="32" s="1"/>
  <c r="E153" i="29"/>
  <c r="Q6" i="32"/>
  <c r="Q10" i="32" s="1"/>
  <c r="L153" i="29"/>
  <c r="J6" i="32"/>
  <c r="J10" i="32" s="1"/>
  <c r="K153" i="29"/>
  <c r="P153" i="29"/>
  <c r="D584" i="29"/>
  <c r="J11" i="32" l="1"/>
  <c r="O11" i="32"/>
  <c r="O14" i="32" s="1"/>
  <c r="G11" i="32"/>
  <c r="G14" i="32" s="1"/>
  <c r="K11" i="32"/>
  <c r="E14" i="32"/>
  <c r="Q11" i="32"/>
  <c r="P11" i="32"/>
  <c r="L11" i="32"/>
  <c r="G460" i="29"/>
  <c r="G571" i="29" l="1"/>
  <c r="I42" i="32" s="1"/>
  <c r="I37" i="32"/>
  <c r="J460" i="29" l="1"/>
  <c r="O460" i="29"/>
  <c r="K460" i="29"/>
  <c r="L460" i="29"/>
  <c r="E460" i="29"/>
  <c r="D460" i="29"/>
  <c r="D572" i="29" s="1"/>
  <c r="N460" i="29"/>
  <c r="I460" i="29"/>
  <c r="P460" i="29"/>
  <c r="Q460" i="29"/>
  <c r="H460" i="29"/>
  <c r="F460" i="29"/>
  <c r="M460" i="29"/>
  <c r="N37" i="32" l="1"/>
  <c r="S37" i="32"/>
  <c r="E37" i="32"/>
  <c r="L37" i="32"/>
  <c r="G37" i="32"/>
  <c r="F571" i="29"/>
  <c r="G42" i="32" s="1"/>
  <c r="K37" i="32"/>
  <c r="Q37" i="32"/>
  <c r="O37" i="32"/>
  <c r="M37" i="32"/>
  <c r="R37" i="32"/>
  <c r="P37" i="32"/>
  <c r="D599" i="29"/>
  <c r="D604" i="29" s="1"/>
  <c r="D573" i="29"/>
  <c r="C37" i="32"/>
  <c r="C43" i="32" s="1"/>
  <c r="L526" i="29"/>
  <c r="N40" i="32" s="1"/>
  <c r="N526" i="29"/>
  <c r="P40" i="32" s="1"/>
  <c r="J37" i="32"/>
  <c r="P526" i="29" l="1"/>
  <c r="R40" i="32" s="1"/>
  <c r="K526" i="29"/>
  <c r="M40" i="32" s="1"/>
  <c r="K571" i="29"/>
  <c r="M42" i="32" s="1"/>
  <c r="N571" i="29"/>
  <c r="J526" i="29"/>
  <c r="L40" i="32" s="1"/>
  <c r="I526" i="29"/>
  <c r="O526" i="29"/>
  <c r="H526" i="29"/>
  <c r="M526" i="29"/>
  <c r="C48" i="32"/>
  <c r="C44" i="32"/>
  <c r="C47" i="32" s="1"/>
  <c r="P42" i="32" l="1"/>
  <c r="O571" i="29"/>
  <c r="Q42" i="32" s="1"/>
  <c r="I571" i="29"/>
  <c r="K42" i="32" s="1"/>
  <c r="H571" i="29"/>
  <c r="J42" i="32" s="1"/>
  <c r="M571" i="29"/>
  <c r="O42" i="32" s="1"/>
  <c r="K40" i="32"/>
  <c r="C49" i="32"/>
  <c r="C52" i="32"/>
  <c r="O40" i="32"/>
  <c r="J40" i="32"/>
  <c r="Q40" i="32"/>
  <c r="Q505" i="29"/>
  <c r="G505" i="29"/>
  <c r="E505" i="29"/>
  <c r="K505" i="29"/>
  <c r="P505" i="29"/>
  <c r="L505" i="29"/>
  <c r="D597" i="29"/>
  <c r="N505" i="29"/>
  <c r="O505" i="29"/>
  <c r="J505" i="29"/>
  <c r="F505" i="29"/>
  <c r="H505" i="29"/>
  <c r="I505" i="29"/>
  <c r="M505" i="29"/>
  <c r="F572" i="29" l="1"/>
  <c r="F573" i="29" s="1"/>
  <c r="F599" i="29"/>
  <c r="F604" i="29" s="1"/>
  <c r="Q39" i="32"/>
  <c r="O599" i="29"/>
  <c r="O604" i="29" s="1"/>
  <c r="O572" i="29"/>
  <c r="P573" i="29"/>
  <c r="P572" i="29"/>
  <c r="P599" i="29"/>
  <c r="P604" i="29" s="1"/>
  <c r="E599" i="29"/>
  <c r="E604" i="29" s="1"/>
  <c r="E572" i="29"/>
  <c r="E573" i="29" s="1"/>
  <c r="Q572" i="29"/>
  <c r="Q599" i="29"/>
  <c r="Q604" i="29" s="1"/>
  <c r="K39" i="32"/>
  <c r="I572" i="29"/>
  <c r="I599" i="29"/>
  <c r="I604" i="29" s="1"/>
  <c r="O39" i="32"/>
  <c r="M572" i="29"/>
  <c r="M599" i="29"/>
  <c r="M604" i="29" s="1"/>
  <c r="J39" i="32"/>
  <c r="H572" i="29"/>
  <c r="H599" i="29"/>
  <c r="H604" i="29" s="1"/>
  <c r="L39" i="32"/>
  <c r="L43" i="32" s="1"/>
  <c r="J572" i="29"/>
  <c r="J599" i="29"/>
  <c r="J604" i="29" s="1"/>
  <c r="N572" i="29"/>
  <c r="N599" i="29"/>
  <c r="N604" i="29" s="1"/>
  <c r="N39" i="32"/>
  <c r="N43" i="32" s="1"/>
  <c r="L599" i="29"/>
  <c r="L604" i="29" s="1"/>
  <c r="L572" i="29"/>
  <c r="K599" i="29"/>
  <c r="K604" i="29" s="1"/>
  <c r="K572" i="29"/>
  <c r="G572" i="29"/>
  <c r="G573" i="29" s="1"/>
  <c r="G599" i="29"/>
  <c r="G604" i="29" s="1"/>
  <c r="J43" i="32"/>
  <c r="K43" i="32"/>
  <c r="K48" i="32" s="1"/>
  <c r="K49" i="32" s="1"/>
  <c r="O43" i="32"/>
  <c r="O44" i="32" s="1"/>
  <c r="Q43" i="32"/>
  <c r="Q48" i="32" s="1"/>
  <c r="Q49" i="32" s="1"/>
  <c r="I39" i="32"/>
  <c r="I43" i="32" s="1"/>
  <c r="I48" i="32" s="1"/>
  <c r="I49" i="32" s="1"/>
  <c r="E39" i="32"/>
  <c r="E43" i="32" s="1"/>
  <c r="E44" i="32" s="1"/>
  <c r="E47" i="32" s="1"/>
  <c r="M39" i="32"/>
  <c r="M43" i="32" s="1"/>
  <c r="M44" i="32" s="1"/>
  <c r="K573" i="29"/>
  <c r="J44" i="32"/>
  <c r="J48" i="32"/>
  <c r="J49" i="32" s="1"/>
  <c r="L44" i="32"/>
  <c r="L48" i="32"/>
  <c r="L49" i="32" s="1"/>
  <c r="M573" i="29"/>
  <c r="H573" i="29"/>
  <c r="J573" i="29"/>
  <c r="D602" i="29"/>
  <c r="D598" i="29"/>
  <c r="D603" i="29" s="1"/>
  <c r="N48" i="32"/>
  <c r="N49" i="32" s="1"/>
  <c r="N52" i="32" s="1"/>
  <c r="N44" i="32"/>
  <c r="N47" i="32" s="1"/>
  <c r="I573" i="29"/>
  <c r="G39" i="32"/>
  <c r="G43" i="32" s="1"/>
  <c r="O573" i="29"/>
  <c r="N573" i="29"/>
  <c r="P39" i="32"/>
  <c r="P43" i="32" s="1"/>
  <c r="R39" i="32"/>
  <c r="R43" i="32" s="1"/>
  <c r="Q573" i="29"/>
  <c r="S39" i="32"/>
  <c r="S43" i="32" s="1"/>
  <c r="L573" i="29"/>
  <c r="K44" i="32" l="1"/>
  <c r="E48" i="32"/>
  <c r="E49" i="32" s="1"/>
  <c r="I44" i="32"/>
  <c r="O48" i="32"/>
  <c r="O49" i="32" s="1"/>
  <c r="O52" i="32" s="1"/>
  <c r="Q44" i="32"/>
  <c r="M48" i="32"/>
  <c r="M49" i="32" s="1"/>
  <c r="G44" i="32"/>
  <c r="G47" i="32" s="1"/>
  <c r="G48" i="32"/>
  <c r="S48" i="32"/>
  <c r="S49" i="32" s="1"/>
  <c r="S44" i="32"/>
  <c r="R44" i="32"/>
  <c r="R48" i="32"/>
  <c r="R49" i="32" s="1"/>
  <c r="P44" i="32"/>
  <c r="P48" i="32"/>
  <c r="P49" i="32" s="1"/>
  <c r="O47" i="32"/>
  <c r="E52" i="32" l="1"/>
  <c r="G52" i="32"/>
  <c r="G49" i="32"/>
  <c r="I82" i="31"/>
  <c r="K6" i="33" l="1"/>
  <c r="K10" i="33" s="1"/>
  <c r="K52" i="33" s="1"/>
  <c r="K53" i="33" s="1"/>
  <c r="I580" i="31"/>
  <c r="I599" i="31" s="1"/>
  <c r="K11" i="33"/>
  <c r="I155" i="31"/>
  <c r="I573" i="31" s="1"/>
</calcChain>
</file>

<file path=xl/sharedStrings.xml><?xml version="1.0" encoding="utf-8"?>
<sst xmlns="http://schemas.openxmlformats.org/spreadsheetml/2006/main" count="1475" uniqueCount="287">
  <si>
    <t>Наименование</t>
  </si>
  <si>
    <t>Выход,</t>
  </si>
  <si>
    <t>г</t>
  </si>
  <si>
    <t>Завтрак</t>
  </si>
  <si>
    <t>Итого:</t>
  </si>
  <si>
    <t>Обед</t>
  </si>
  <si>
    <t>Суп из овощей</t>
  </si>
  <si>
    <t>Итого за день</t>
  </si>
  <si>
    <t>Рис отварной</t>
  </si>
  <si>
    <t>ккал</t>
  </si>
  <si>
    <t>Энергетическая ценность</t>
  </si>
  <si>
    <t>Пюре картофельное</t>
  </si>
  <si>
    <t>Рассольник Ленинградский</t>
  </si>
  <si>
    <t>Соус молочный</t>
  </si>
  <si>
    <t>Сырники</t>
  </si>
  <si>
    <t>Углеводы</t>
  </si>
  <si>
    <t>Белки</t>
  </si>
  <si>
    <t>Жиры</t>
  </si>
  <si>
    <t>Гуляш</t>
  </si>
  <si>
    <t>Птица отварная</t>
  </si>
  <si>
    <t>Бефстроганов</t>
  </si>
  <si>
    <t>витамины, мг ,</t>
  </si>
  <si>
    <t>минеральные вещества, мг ,</t>
  </si>
  <si>
    <t>В 1</t>
  </si>
  <si>
    <t>С</t>
  </si>
  <si>
    <t>А</t>
  </si>
  <si>
    <t>Е мг, ток. экв.</t>
  </si>
  <si>
    <t>Са</t>
  </si>
  <si>
    <t>Р</t>
  </si>
  <si>
    <t>Мg</t>
  </si>
  <si>
    <t>Fe</t>
  </si>
  <si>
    <t>Чай с сахаром</t>
  </si>
  <si>
    <t>Ватрушка с творогом</t>
  </si>
  <si>
    <t>Суп картофельный с рыбой</t>
  </si>
  <si>
    <t>Кекс столичный</t>
  </si>
  <si>
    <t>Полдник</t>
  </si>
  <si>
    <t>Наименования пищевых продуктов приведены в соответствии с утвержденной Главным государственным санитарным врачом по городу Москве от 25.06.2010 номенклатурой пищевых продуктов, используемых в питании детей и подростков в образовательных учреждениях</t>
  </si>
  <si>
    <t>Говядина тушеная с картофелем</t>
  </si>
  <si>
    <t>Суп с рисом и говядиной</t>
  </si>
  <si>
    <t>Винегрет овощной</t>
  </si>
  <si>
    <t xml:space="preserve">Суп-пюре картофельный </t>
  </si>
  <si>
    <t>День 1(понедельник)</t>
  </si>
  <si>
    <t>День 2(вторник)</t>
  </si>
  <si>
    <t>День 3 (среда)</t>
  </si>
  <si>
    <t>День 4 (четверг)</t>
  </si>
  <si>
    <t>День 5 (пятница)</t>
  </si>
  <si>
    <t>День 6 (суббота)</t>
  </si>
  <si>
    <t>День 7 (понедельник)</t>
  </si>
  <si>
    <t>День 8 (вторник)</t>
  </si>
  <si>
    <t>День 10 (четверг)</t>
  </si>
  <si>
    <t>День 11 (пятница)</t>
  </si>
  <si>
    <t>День12(суббота)</t>
  </si>
  <si>
    <t>День 13 (понедельник)</t>
  </si>
  <si>
    <t>День 14 (вторник)</t>
  </si>
  <si>
    <t>День 15 (среда)</t>
  </si>
  <si>
    <t>День 16 (четверг)</t>
  </si>
  <si>
    <t>День 17 (пятница)</t>
  </si>
  <si>
    <t>День 18 (Суббота)</t>
  </si>
  <si>
    <t>День 19 (Понедельник)</t>
  </si>
  <si>
    <t>День 20 (Вторник)</t>
  </si>
  <si>
    <t>День 21 (Среда)</t>
  </si>
  <si>
    <t>День 22 (Четверг)</t>
  </si>
  <si>
    <t>День 23 (Пятница)</t>
  </si>
  <si>
    <t>День 24 (Суббота)</t>
  </si>
  <si>
    <t>Салат витаминный с маслом растительным</t>
  </si>
  <si>
    <t>Салат из помидоров с растительным маслом</t>
  </si>
  <si>
    <t>День 9 (среда)</t>
  </si>
  <si>
    <t>Запеканка из творога</t>
  </si>
  <si>
    <t xml:space="preserve">Щи из свежей капусты </t>
  </si>
  <si>
    <t>Капуста тушеная</t>
  </si>
  <si>
    <t>Меню 5-11 классы. Комплекс I</t>
  </si>
  <si>
    <t>Меню для 5-11 классов. Комплекс II</t>
  </si>
  <si>
    <t>Суп с макаронными изделиями</t>
  </si>
  <si>
    <t>1 неделя</t>
  </si>
  <si>
    <t>Эренгетическая ценность завтрак</t>
  </si>
  <si>
    <t>двух разовое питание</t>
  </si>
  <si>
    <t>3 разовое питание</t>
  </si>
  <si>
    <t>2 неделя</t>
  </si>
  <si>
    <t>3 неделя</t>
  </si>
  <si>
    <t>4 неделя</t>
  </si>
  <si>
    <t>ЗА 4 НЕДЕЛИ СРЕДНЕЕ</t>
  </si>
  <si>
    <t>Среднее завтрак</t>
  </si>
  <si>
    <t>Среднее 2х разовое</t>
  </si>
  <si>
    <t>Среднее 3х разовое</t>
  </si>
  <si>
    <t>5-11 классы (комплекс 1)</t>
  </si>
  <si>
    <t>недели</t>
  </si>
  <si>
    <t>дни</t>
  </si>
  <si>
    <t>белки</t>
  </si>
  <si>
    <t>жиры</t>
  </si>
  <si>
    <t>углеводы</t>
  </si>
  <si>
    <t>В1</t>
  </si>
  <si>
    <t>Е</t>
  </si>
  <si>
    <t>P</t>
  </si>
  <si>
    <t>1 нед</t>
  </si>
  <si>
    <t>итого</t>
  </si>
  <si>
    <t>средняя</t>
  </si>
  <si>
    <t>норматив 70</t>
  </si>
  <si>
    <t>норматив 60</t>
  </si>
  <si>
    <t>соотношение (по белку)</t>
  </si>
  <si>
    <t>2 нед</t>
  </si>
  <si>
    <t>3 нед</t>
  </si>
  <si>
    <t>4 нед</t>
  </si>
  <si>
    <t>средняя по меню</t>
  </si>
  <si>
    <t>5-11 классы (комплекс 2)</t>
  </si>
  <si>
    <t>норматив</t>
  </si>
  <si>
    <t>B2</t>
  </si>
  <si>
    <t>B1</t>
  </si>
  <si>
    <t>I,мкг</t>
  </si>
  <si>
    <t>I, мкг</t>
  </si>
  <si>
    <t>Борщ с капустой и картофелем</t>
  </si>
  <si>
    <t>Суп картофельный с горохом</t>
  </si>
  <si>
    <t>Макароны, запеченые с сыром</t>
  </si>
  <si>
    <t>Котлеты рубленные из птицы</t>
  </si>
  <si>
    <t>Каша гречневая рассыпчатая</t>
  </si>
  <si>
    <t>Изделия макаронные отварные</t>
  </si>
  <si>
    <t>Печень тушеная (говяжья)</t>
  </si>
  <si>
    <t>Соус сметанный</t>
  </si>
  <si>
    <t>Тефтели рубленные из говядины</t>
  </si>
  <si>
    <t>Соус томатный</t>
  </si>
  <si>
    <t>Котлеты рубленные из фарша рыбного</t>
  </si>
  <si>
    <t>Тефтели рыбные</t>
  </si>
  <si>
    <t>Котлеты рубленные из мяса</t>
  </si>
  <si>
    <t>Кофейный напиток из цикория с молоком</t>
  </si>
  <si>
    <t>Компот из плодов быстрозамороженных (клюква)</t>
  </si>
  <si>
    <t>Сухарики из хлеба пшеничного</t>
  </si>
  <si>
    <t>Салат из моркови с растительным маслом (с сахаром)</t>
  </si>
  <si>
    <t>Компот из плодов свежих (груши)</t>
  </si>
  <si>
    <t>Пельмени детские из п/ф промышленного производства с маслом сливочным</t>
  </si>
  <si>
    <t>Салат из свеклы с сыром с соусом салатным</t>
  </si>
  <si>
    <t>Салат из овощей с кукурузой консервированной и соусом салатным</t>
  </si>
  <si>
    <t>Компот из плодов быстрозамороженных (клубника)</t>
  </si>
  <si>
    <t>Компот из плодов сухих (курага)</t>
  </si>
  <si>
    <t>Компот из плодов быстрозамороженных (вишня)</t>
  </si>
  <si>
    <t>Салат из свежих огурцов с растительным маслом</t>
  </si>
  <si>
    <t>Салат из помидоров и огурцов свежих с растительным маслом</t>
  </si>
  <si>
    <t>Компот из плодов быстрозамороженных (смородина)</t>
  </si>
  <si>
    <t>Рагу из овощей</t>
  </si>
  <si>
    <t>Салат картофельный с горошком зеленым с соусом салатным</t>
  </si>
  <si>
    <t xml:space="preserve">Компот из плодов свежих (яблоки) </t>
  </si>
  <si>
    <t>Зефир</t>
  </si>
  <si>
    <t>Сахар порционный</t>
  </si>
  <si>
    <t>Молоко сгущенное с сахаром 8,5% жирности</t>
  </si>
  <si>
    <t>Хлеб зерновой пшеничный</t>
  </si>
  <si>
    <t>Ватрушка с джемом</t>
  </si>
  <si>
    <t>Салат из капусты белокочанной с растительным маслом</t>
  </si>
  <si>
    <t>Биойогурт фруктовый питьевой</t>
  </si>
  <si>
    <t>Мармелад</t>
  </si>
  <si>
    <t>Чай с лимоном</t>
  </si>
  <si>
    <t>Брушетта</t>
  </si>
  <si>
    <t>Салат из свеклы с огурцами консервированными с растительным маслом</t>
  </si>
  <si>
    <t>Икра из уваренных кабачков для детского питания промышленного производства</t>
  </si>
  <si>
    <t>Плов куриный</t>
  </si>
  <si>
    <t>Сельдь с луком и растительным маслом</t>
  </si>
  <si>
    <t>Итого за 6 дней</t>
  </si>
  <si>
    <t>Итого за 24 дня</t>
  </si>
  <si>
    <t>норматив 50</t>
  </si>
  <si>
    <t>5-11 классы (завтрак+обед)</t>
  </si>
  <si>
    <t>Соус молочный сладкий с ванилью</t>
  </si>
  <si>
    <t>Суп крестьянский с крупой</t>
  </si>
  <si>
    <t>Хлеб ржано-пшеничный</t>
  </si>
  <si>
    <t>Хлеб из муки пшеничной первого сорта</t>
  </si>
  <si>
    <t>Молоко ультрапастеризованное</t>
  </si>
  <si>
    <t>Кисель из ягод свежезамороженных (черная смородина)</t>
  </si>
  <si>
    <t>Какао-напиток на молоке</t>
  </si>
  <si>
    <t>Масло коровье сладкосливочное несоленое в порционной упаковке</t>
  </si>
  <si>
    <t>Кофейный напиток злаковый на молоке</t>
  </si>
  <si>
    <t>Бутерброд горячий с колбасой п/к и сыром</t>
  </si>
  <si>
    <t xml:space="preserve">Гемотоген обогащенный очищенным гемоглобином </t>
  </si>
  <si>
    <t>Кисель из ягод свежезамороженных (клюква)</t>
  </si>
  <si>
    <t>Кисель из ягод свежезамороженных (брусника)</t>
  </si>
  <si>
    <t>Яйцо куриное диетическое, сваренное вкрутую</t>
  </si>
  <si>
    <t>Солянка</t>
  </si>
  <si>
    <t>Суп-пюре из цветной капусты</t>
  </si>
  <si>
    <t>Суп-пюре куриный</t>
  </si>
  <si>
    <t>Ряженка</t>
  </si>
  <si>
    <t>Борщ сибирский с говядиной</t>
  </si>
  <si>
    <t>Азу из говядины</t>
  </si>
  <si>
    <t>Бульон куриный</t>
  </si>
  <si>
    <t>Уха ростовская</t>
  </si>
  <si>
    <t>Щи из шпината</t>
  </si>
  <si>
    <t>Рассольник Домашний</t>
  </si>
  <si>
    <t>Гуляш из мяса птицы</t>
  </si>
  <si>
    <t>Говядина тушеная с черносливом</t>
  </si>
  <si>
    <t>Картофель отварной</t>
  </si>
  <si>
    <t>Джем малиновый</t>
  </si>
  <si>
    <t>Кекс с шоколадом</t>
  </si>
  <si>
    <t>Кекс с цукатами</t>
  </si>
  <si>
    <t>Биойогурт фруктовый</t>
  </si>
  <si>
    <t xml:space="preserve">Сыр полутвердый для детского (дошкольного и школьного) питания с жирностью до 45% в порционной нарезке </t>
  </si>
  <si>
    <t>Салат зеленый с огурцом и растительным маслом</t>
  </si>
  <si>
    <t>Рыба (филе) припущенная</t>
  </si>
  <si>
    <t>Соус шоколадный</t>
  </si>
  <si>
    <t>Рис отварной с кукурузой</t>
  </si>
  <si>
    <t>Шницель рубленный куриный</t>
  </si>
  <si>
    <t>Горошек зеленый консервированный</t>
  </si>
  <si>
    <t>Салат зеленый с помидорами с растительным маслом</t>
  </si>
  <si>
    <t>Салат из моркови с растительным маслом</t>
  </si>
  <si>
    <t>Салат из капусты белокочанной со сладким перцем с маслом растительным</t>
  </si>
  <si>
    <t>Биточки рубленные куриные</t>
  </si>
  <si>
    <t>Суп картофельный с фасолью</t>
  </si>
  <si>
    <t>Рис отварной с горошком, кукурузой и морковью</t>
  </si>
  <si>
    <t>Говядина отварная</t>
  </si>
  <si>
    <t>Шницель рубленный из говядины</t>
  </si>
  <si>
    <t>Рис отварной  с зеленым горошком</t>
  </si>
  <si>
    <t>Рагу из мяса птицы</t>
  </si>
  <si>
    <t>Салат из капусты краснокочанной с маслом растительным</t>
  </si>
  <si>
    <t>Салат из морской капусты «Здоровье»</t>
  </si>
  <si>
    <t>Салат из цветной капусты со шпинатом с соусом салатным</t>
  </si>
  <si>
    <t>Салат из свеклы и горошка зеленого консервированного с маслом растительным</t>
  </si>
  <si>
    <t>Суп куриный</t>
  </si>
  <si>
    <t>Суп с лапшой</t>
  </si>
  <si>
    <t>Суп-пюре овощной</t>
  </si>
  <si>
    <t>Изделия колбасные вареные (сардельки) для школьного питания отварные</t>
  </si>
  <si>
    <t>Омлет натуральный, запеченный</t>
  </si>
  <si>
    <t>Омлет с сыром запеченный</t>
  </si>
  <si>
    <t>Омлет, смешанный с ветчиной для школьного питания, запеченный</t>
  </si>
  <si>
    <t>Тефтели с рисом</t>
  </si>
  <si>
    <t>Пирожок с рисом и яйцом</t>
  </si>
  <si>
    <t>Огурцы консервированные без уксуса</t>
  </si>
  <si>
    <t>Ирис</t>
  </si>
  <si>
    <t>Салат из кальмаров с перцем сладким и луком с маслом растительным</t>
  </si>
  <si>
    <t>Плов из индейки</t>
  </si>
  <si>
    <t>Булочка овсяная</t>
  </si>
  <si>
    <t>Пирожок с капустой и яйцом</t>
  </si>
  <si>
    <t>Запеканка из творога с курагой</t>
  </si>
  <si>
    <t>Запеканка из творога с какао</t>
  </si>
  <si>
    <t>Запеканка из творога с яблоком</t>
  </si>
  <si>
    <t>Изделия колбасные вареные (сосиски) для школьного питания отварные</t>
  </si>
  <si>
    <t>Компот из плодов сухих  (смесь косточковых плодов)</t>
  </si>
  <si>
    <t>Юшка с кабачками и помидорами</t>
  </si>
  <si>
    <t>Котлеты куриные с ветчиной</t>
  </si>
  <si>
    <t>Сок фруктовый ДП (см. приложение №4)</t>
  </si>
  <si>
    <t>Плоды и ягоды свежие (см. приложение №1)</t>
  </si>
  <si>
    <t>Фиточай (см. приложение №2)</t>
  </si>
  <si>
    <t>Зразы мясные с фаршем из яйца и ветчины</t>
  </si>
  <si>
    <t>Булочка с цукатами или Блочка с изюмом</t>
  </si>
  <si>
    <t>Булочка с цукатами или Булочка с изюмом</t>
  </si>
  <si>
    <t>№ ТК
(Вариант 1)</t>
  </si>
  <si>
    <t>№ ТК
(Вариант 2)</t>
  </si>
  <si>
    <t>Изделие деликатесное из мяса (ветчина)</t>
  </si>
  <si>
    <t>Соус ягодный</t>
  </si>
  <si>
    <t>Капуста тушеная с колбасными изделиями</t>
  </si>
  <si>
    <t>110313
110314</t>
  </si>
  <si>
    <t>190104
190105</t>
  </si>
  <si>
    <t>190107
190108</t>
  </si>
  <si>
    <t>190201
190202</t>
  </si>
  <si>
    <t>Пирожок с клубникой или Пирожок с клубничным джемом</t>
  </si>
  <si>
    <t>Пирожок с яблоком или Пирожок с яблочным джемом</t>
  </si>
  <si>
    <t>190204
190205</t>
  </si>
  <si>
    <t>190207
190208</t>
  </si>
  <si>
    <t>190210
190211</t>
  </si>
  <si>
    <t>Пирожок с вишней или Пирожок с вишневым джемом</t>
  </si>
  <si>
    <t>190213
190214</t>
  </si>
  <si>
    <t>190301
190302</t>
  </si>
  <si>
    <t>190304
190305</t>
  </si>
  <si>
    <t>Изделия фигурные и хлопья из круп, сладкие с молоком (см. приложение №2)</t>
  </si>
  <si>
    <t>Булочка "Любимая" или Булочка с шоколадом</t>
  </si>
  <si>
    <t>Суп картофельный с фрикадельками</t>
  </si>
  <si>
    <t xml:space="preserve">Суп картофельный с фрикадельками </t>
  </si>
  <si>
    <t>Булочка</t>
  </si>
  <si>
    <t>Каша овсяная молочная</t>
  </si>
  <si>
    <t>Каша пшенная молочная</t>
  </si>
  <si>
    <t>Каша гречневая молочная</t>
  </si>
  <si>
    <t>Каша манная молочная с яблоком</t>
  </si>
  <si>
    <t>Каша рисовая молочная</t>
  </si>
  <si>
    <t>Каша вязкая молочная "Дружба"</t>
  </si>
  <si>
    <t>Каша пшенная молочная с курагой</t>
  </si>
  <si>
    <t>Творог детский</t>
  </si>
  <si>
    <t>Желе вишневое*</t>
  </si>
  <si>
    <t>Желе яблочное*</t>
  </si>
  <si>
    <t>Желе с кусочками персика*</t>
  </si>
  <si>
    <t>Желе с кусочками яблока*</t>
  </si>
  <si>
    <t>Желе вишнево-ванильное*</t>
  </si>
  <si>
    <t>Желе шоколадное*</t>
  </si>
  <si>
    <t>-</t>
  </si>
  <si>
    <t>Фруктовый десерт (яблоко, клубника, банан)**</t>
  </si>
  <si>
    <t>Фруктовый десерт  (яблоко, абрикос)**</t>
  </si>
  <si>
    <t>Фруктовый десерт (яблоко, банан)**</t>
  </si>
  <si>
    <t>Фруктовый десерт (яблоко, абрикос)**</t>
  </si>
  <si>
    <t>*Не допускается использовать один и тот же продукт два раза подряд.  Возможна замена на желе или десерты в ассортименте, массой от 100 до 150 гр</t>
  </si>
  <si>
    <t xml:space="preserve">**Возможна замена на десерты в ассортименте, массой от 100 до 125 гр. Не допускается использовать один и тот же продукт два раза подряд.  </t>
  </si>
  <si>
    <t xml:space="preserve">Кефир </t>
  </si>
  <si>
    <t xml:space="preserve">Ацидофилин </t>
  </si>
  <si>
    <t>Ацидофилин</t>
  </si>
  <si>
    <t xml:space="preserve">Бутерброд с колбасой полукопченой </t>
  </si>
  <si>
    <t>Печенье</t>
  </si>
  <si>
    <t>Итого в среднем за 6 дней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</si>
</sst>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1" x14ac:knownFonts="1">
    <font>
      <sz val="10"/>
      <name val="Arial Cyr"/>
      <charset val="204"/>
    </font>
    <font>
      <sz val="8"/>
      <name val="Arial Cyr"/>
      <charset val="204"/>
    </font>
    <font>
      <b/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Arial Cyr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6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0" fillId="0" borderId="0" xfId="0" applyFill="1"/>
    <xf numFmtId="0" fontId="9" fillId="0" borderId="0" xfId="0" applyFont="1" applyFill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16" fillId="0" borderId="0" xfId="0" applyFont="1" applyFill="1"/>
    <xf numFmtId="2" fontId="0" fillId="0" borderId="0" xfId="0" applyNumberFormat="1"/>
    <xf numFmtId="164" fontId="0" fillId="0" borderId="0" xfId="0" applyNumberFormat="1"/>
    <xf numFmtId="0" fontId="19" fillId="0" borderId="0" xfId="0" applyFont="1"/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Font="1" applyBorder="1"/>
    <xf numFmtId="164" fontId="0" fillId="0" borderId="1" xfId="0" applyNumberFormat="1" applyFont="1" applyBorder="1"/>
    <xf numFmtId="2" fontId="19" fillId="0" borderId="1" xfId="0" applyNumberFormat="1" applyFont="1" applyBorder="1"/>
    <xf numFmtId="164" fontId="19" fillId="0" borderId="1" xfId="0" applyNumberFormat="1" applyFont="1" applyBorder="1"/>
    <xf numFmtId="0" fontId="0" fillId="4" borderId="1" xfId="0" applyFill="1" applyBorder="1"/>
    <xf numFmtId="2" fontId="0" fillId="4" borderId="1" xfId="0" applyNumberFormat="1" applyFont="1" applyFill="1" applyBorder="1"/>
    <xf numFmtId="164" fontId="0" fillId="4" borderId="1" xfId="0" applyNumberFormat="1" applyFont="1" applyFill="1" applyBorder="1"/>
    <xf numFmtId="164" fontId="19" fillId="4" borderId="1" xfId="0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2" fontId="0" fillId="3" borderId="1" xfId="0" applyNumberFormat="1" applyFont="1" applyFill="1" applyBorder="1"/>
    <xf numFmtId="164" fontId="0" fillId="3" borderId="1" xfId="0" applyNumberFormat="1" applyFont="1" applyFill="1" applyBorder="1"/>
    <xf numFmtId="2" fontId="0" fillId="3" borderId="0" xfId="0" applyNumberFormat="1" applyFill="1"/>
    <xf numFmtId="165" fontId="0" fillId="0" borderId="0" xfId="0" applyNumberFormat="1"/>
    <xf numFmtId="165" fontId="19" fillId="0" borderId="13" xfId="0" applyNumberFormat="1" applyFont="1" applyFill="1" applyBorder="1" applyAlignment="1">
      <alignment horizontal="center"/>
    </xf>
    <xf numFmtId="165" fontId="0" fillId="0" borderId="1" xfId="0" applyNumberFormat="1" applyFont="1" applyBorder="1"/>
    <xf numFmtId="165" fontId="19" fillId="0" borderId="1" xfId="0" applyNumberFormat="1" applyFont="1" applyBorder="1"/>
    <xf numFmtId="165" fontId="0" fillId="3" borderId="0" xfId="0" applyNumberFormat="1" applyFill="1"/>
    <xf numFmtId="2" fontId="0" fillId="5" borderId="1" xfId="0" applyNumberFormat="1" applyFill="1" applyBorder="1"/>
    <xf numFmtId="0" fontId="22" fillId="0" borderId="0" xfId="0" applyFont="1" applyFill="1"/>
    <xf numFmtId="2" fontId="19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2" fontId="4" fillId="6" borderId="16" xfId="0" applyNumberFormat="1" applyFont="1" applyFill="1" applyBorder="1" applyAlignment="1">
      <alignment horizontal="center" vertical="center"/>
    </xf>
    <xf numFmtId="2" fontId="4" fillId="6" borderId="2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26" fillId="0" borderId="0" xfId="0" applyFont="1" applyFill="1"/>
    <xf numFmtId="0" fontId="4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19" fillId="6" borderId="1" xfId="0" applyNumberFormat="1" applyFont="1" applyFill="1" applyBorder="1"/>
    <xf numFmtId="164" fontId="19" fillId="6" borderId="1" xfId="0" applyNumberFormat="1" applyFont="1" applyFill="1" applyBorder="1"/>
    <xf numFmtId="2" fontId="0" fillId="6" borderId="1" xfId="0" applyNumberFormat="1" applyFont="1" applyFill="1" applyBorder="1"/>
    <xf numFmtId="0" fontId="2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center" wrapText="1"/>
    </xf>
    <xf numFmtId="1" fontId="4" fillId="6" borderId="0" xfId="0" applyNumberFormat="1" applyFont="1" applyFill="1" applyBorder="1" applyAlignment="1">
      <alignment horizontal="center" vertical="center"/>
    </xf>
    <xf numFmtId="2" fontId="4" fillId="6" borderId="0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 wrapText="1"/>
    </xf>
    <xf numFmtId="1" fontId="2" fillId="6" borderId="0" xfId="0" applyNumberFormat="1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/>
    </xf>
    <xf numFmtId="1" fontId="3" fillId="6" borderId="15" xfId="0" applyNumberFormat="1" applyFont="1" applyFill="1" applyBorder="1" applyAlignment="1">
      <alignment horizontal="center" vertical="center" wrapText="1"/>
    </xf>
    <xf numFmtId="2" fontId="4" fillId="6" borderId="15" xfId="0" applyNumberFormat="1" applyFont="1" applyFill="1" applyBorder="1" applyAlignment="1">
      <alignment horizontal="center" vertical="center" wrapText="1"/>
    </xf>
    <xf numFmtId="2" fontId="3" fillId="6" borderId="15" xfId="0" applyNumberFormat="1" applyFont="1" applyFill="1" applyBorder="1" applyAlignment="1">
      <alignment horizontal="center" vertical="center" wrapText="1"/>
    </xf>
    <xf numFmtId="2" fontId="3" fillId="6" borderId="20" xfId="0" applyNumberFormat="1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 wrapText="1"/>
    </xf>
    <xf numFmtId="2" fontId="7" fillId="6" borderId="15" xfId="0" applyNumberFormat="1" applyFont="1" applyFill="1" applyBorder="1" applyAlignment="1">
      <alignment horizontal="center" vertical="center"/>
    </xf>
    <xf numFmtId="2" fontId="7" fillId="6" borderId="36" xfId="0" applyNumberFormat="1" applyFont="1" applyFill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left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5" xfId="0" applyNumberFormat="1" applyFont="1" applyFill="1" applyBorder="1" applyAlignment="1">
      <alignment horizontal="center" vertical="center" wrapText="1"/>
    </xf>
    <xf numFmtId="2" fontId="7" fillId="6" borderId="18" xfId="0" applyNumberFormat="1" applyFont="1" applyFill="1" applyBorder="1" applyAlignment="1">
      <alignment horizontal="center" vertical="center" wrapText="1"/>
    </xf>
    <xf numFmtId="2" fontId="7" fillId="6" borderId="20" xfId="0" applyNumberFormat="1" applyFont="1" applyFill="1" applyBorder="1" applyAlignment="1">
      <alignment horizontal="center" vertical="center"/>
    </xf>
    <xf numFmtId="2" fontId="7" fillId="6" borderId="21" xfId="0" applyNumberFormat="1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64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" fontId="4" fillId="6" borderId="15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164" fontId="18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/>
    </xf>
    <xf numFmtId="1" fontId="7" fillId="6" borderId="1" xfId="0" applyNumberFormat="1" applyFont="1" applyFill="1" applyBorder="1"/>
    <xf numFmtId="0" fontId="25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1" fontId="4" fillId="6" borderId="1" xfId="0" applyNumberFormat="1" applyFont="1" applyFill="1" applyBorder="1"/>
    <xf numFmtId="0" fontId="4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 wrapText="1"/>
    </xf>
    <xf numFmtId="1" fontId="4" fillId="6" borderId="0" xfId="0" applyNumberFormat="1" applyFont="1" applyFill="1" applyAlignment="1">
      <alignment horizontal="center"/>
    </xf>
    <xf numFmtId="2" fontId="20" fillId="6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4" fillId="6" borderId="0" xfId="0" applyFont="1" applyFill="1" applyAlignment="1">
      <alignment horizontal="left" vertical="center" wrapText="1"/>
    </xf>
    <xf numFmtId="0" fontId="22" fillId="6" borderId="0" xfId="0" applyFont="1" applyFill="1"/>
    <xf numFmtId="0" fontId="0" fillId="6" borderId="0" xfId="0" applyFill="1"/>
    <xf numFmtId="0" fontId="16" fillId="6" borderId="0" xfId="0" applyFont="1" applyFill="1"/>
    <xf numFmtId="1" fontId="4" fillId="6" borderId="0" xfId="0" applyNumberFormat="1" applyFont="1" applyFill="1"/>
    <xf numFmtId="2" fontId="4" fillId="6" borderId="0" xfId="0" applyNumberFormat="1" applyFont="1" applyFill="1" applyAlignment="1">
      <alignment horizontal="center" vertical="center"/>
    </xf>
    <xf numFmtId="2" fontId="6" fillId="6" borderId="0" xfId="0" applyNumberFormat="1" applyFont="1" applyFill="1" applyBorder="1" applyAlignment="1">
      <alignment horizontal="center" vertical="center"/>
    </xf>
    <xf numFmtId="164" fontId="6" fillId="6" borderId="0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/>
    </xf>
    <xf numFmtId="2" fontId="4" fillId="6" borderId="11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0" fontId="4" fillId="6" borderId="11" xfId="0" applyFont="1" applyFill="1" applyBorder="1" applyAlignment="1">
      <alignment horizontal="center"/>
    </xf>
    <xf numFmtId="2" fontId="13" fillId="6" borderId="1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/>
    </xf>
    <xf numFmtId="0" fontId="21" fillId="6" borderId="0" xfId="0" applyFont="1" applyFill="1" applyAlignment="1">
      <alignment horizontal="left" vertical="center" wrapText="1"/>
    </xf>
    <xf numFmtId="1" fontId="20" fillId="6" borderId="0" xfId="0" applyNumberFormat="1" applyFont="1" applyFill="1" applyAlignment="1">
      <alignment horizontal="center"/>
    </xf>
    <xf numFmtId="164" fontId="20" fillId="6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 wrapText="1"/>
    </xf>
    <xf numFmtId="2" fontId="23" fillId="6" borderId="0" xfId="0" applyNumberFormat="1" applyFont="1" applyFill="1" applyAlignment="1">
      <alignment horizontal="center" vertical="center"/>
    </xf>
    <xf numFmtId="164" fontId="23" fillId="6" borderId="0" xfId="0" applyNumberFormat="1" applyFont="1" applyFill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2" fontId="7" fillId="6" borderId="7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 wrapText="1"/>
    </xf>
    <xf numFmtId="1" fontId="18" fillId="6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2" fontId="7" fillId="6" borderId="53" xfId="0" applyNumberFormat="1" applyFont="1" applyFill="1" applyBorder="1" applyAlignment="1">
      <alignment horizontal="center" vertical="center"/>
    </xf>
    <xf numFmtId="2" fontId="7" fillId="6" borderId="34" xfId="0" applyNumberFormat="1" applyFont="1" applyFill="1" applyBorder="1" applyAlignment="1">
      <alignment horizontal="center" vertical="center"/>
    </xf>
    <xf numFmtId="0" fontId="15" fillId="6" borderId="52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1" fontId="4" fillId="6" borderId="7" xfId="0" applyNumberFormat="1" applyFont="1" applyFill="1" applyBorder="1" applyAlignment="1">
      <alignment horizontal="center" vertical="center" wrapText="1"/>
    </xf>
    <xf numFmtId="0" fontId="19" fillId="6" borderId="0" xfId="0" applyFont="1" applyFill="1"/>
    <xf numFmtId="2" fontId="0" fillId="6" borderId="0" xfId="0" applyNumberFormat="1" applyFill="1"/>
    <xf numFmtId="164" fontId="0" fillId="6" borderId="0" xfId="0" applyNumberFormat="1" applyFill="1"/>
    <xf numFmtId="165" fontId="0" fillId="6" borderId="0" xfId="0" applyNumberFormat="1" applyFill="1"/>
    <xf numFmtId="0" fontId="19" fillId="6" borderId="1" xfId="0" applyFont="1" applyFill="1" applyBorder="1" applyAlignment="1">
      <alignment horizontal="center"/>
    </xf>
    <xf numFmtId="2" fontId="19" fillId="6" borderId="1" xfId="0" applyNumberFormat="1" applyFont="1" applyFill="1" applyBorder="1" applyAlignment="1">
      <alignment horizontal="center"/>
    </xf>
    <xf numFmtId="164" fontId="19" fillId="6" borderId="1" xfId="0" applyNumberFormat="1" applyFont="1" applyFill="1" applyBorder="1" applyAlignment="1">
      <alignment horizontal="center"/>
    </xf>
    <xf numFmtId="2" fontId="19" fillId="6" borderId="13" xfId="0" applyNumberFormat="1" applyFont="1" applyFill="1" applyBorder="1" applyAlignment="1">
      <alignment horizontal="center"/>
    </xf>
    <xf numFmtId="165" fontId="19" fillId="6" borderId="13" xfId="0" applyNumberFormat="1" applyFont="1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/>
    <xf numFmtId="164" fontId="0" fillId="6" borderId="1" xfId="0" applyNumberFormat="1" applyFont="1" applyFill="1" applyBorder="1"/>
    <xf numFmtId="165" fontId="0" fillId="6" borderId="1" xfId="0" applyNumberFormat="1" applyFont="1" applyFill="1" applyBorder="1"/>
    <xf numFmtId="165" fontId="19" fillId="6" borderId="1" xfId="0" applyNumberFormat="1" applyFont="1" applyFill="1" applyBorder="1"/>
    <xf numFmtId="2" fontId="26" fillId="6" borderId="1" xfId="0" applyNumberFormat="1" applyFont="1" applyFill="1" applyBorder="1"/>
    <xf numFmtId="165" fontId="26" fillId="6" borderId="1" xfId="0" applyNumberFormat="1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/>
    </xf>
    <xf numFmtId="0" fontId="25" fillId="6" borderId="25" xfId="0" applyFont="1" applyFill="1" applyBorder="1" applyAlignment="1">
      <alignment horizontal="center"/>
    </xf>
    <xf numFmtId="0" fontId="26" fillId="0" borderId="0" xfId="0" applyFont="1" applyFill="1" applyBorder="1"/>
    <xf numFmtId="0" fontId="6" fillId="6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26" fillId="0" borderId="51" xfId="0" applyFont="1" applyFill="1" applyBorder="1"/>
    <xf numFmtId="0" fontId="4" fillId="6" borderId="1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7" fillId="6" borderId="36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30" fillId="6" borderId="0" xfId="0" applyFont="1" applyFill="1" applyAlignment="1">
      <alignment horizontal="center"/>
    </xf>
    <xf numFmtId="0" fontId="29" fillId="6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20" fillId="6" borderId="0" xfId="0" applyNumberFormat="1" applyFont="1" applyFill="1" applyBorder="1" applyAlignment="1">
      <alignment horizontal="center" vertical="center"/>
    </xf>
    <xf numFmtId="2" fontId="23" fillId="6" borderId="0" xfId="0" applyNumberFormat="1" applyFont="1" applyFill="1" applyBorder="1" applyAlignment="1">
      <alignment horizontal="center" vertical="center"/>
    </xf>
    <xf numFmtId="0" fontId="22" fillId="6" borderId="0" xfId="0" applyFont="1" applyFill="1" applyBorder="1"/>
    <xf numFmtId="0" fontId="22" fillId="0" borderId="0" xfId="0" applyFont="1" applyFill="1" applyBorder="1"/>
    <xf numFmtId="164" fontId="23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/>
    <xf numFmtId="2" fontId="7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/>
    </xf>
    <xf numFmtId="0" fontId="4" fillId="6" borderId="0" xfId="0" applyFont="1" applyFill="1" applyAlignment="1">
      <alignment horizontal="center" vertical="top"/>
    </xf>
    <xf numFmtId="0" fontId="4" fillId="6" borderId="0" xfId="0" applyFont="1" applyFill="1" applyBorder="1" applyAlignment="1">
      <alignment horizontal="center" vertical="top"/>
    </xf>
    <xf numFmtId="2" fontId="4" fillId="6" borderId="0" xfId="0" applyNumberFormat="1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4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2" fontId="7" fillId="6" borderId="27" xfId="0" applyNumberFormat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2" fontId="7" fillId="6" borderId="15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2" fontId="7" fillId="6" borderId="42" xfId="0" applyNumberFormat="1" applyFont="1" applyFill="1" applyBorder="1" applyAlignment="1">
      <alignment horizontal="center" vertical="center" wrapText="1"/>
    </xf>
    <xf numFmtId="2" fontId="7" fillId="6" borderId="43" xfId="0" applyNumberFormat="1" applyFont="1" applyFill="1" applyBorder="1" applyAlignment="1">
      <alignment horizontal="center" vertical="center" wrapText="1"/>
    </xf>
    <xf numFmtId="2" fontId="3" fillId="6" borderId="3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2" fontId="7" fillId="6" borderId="27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15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2" fontId="7" fillId="6" borderId="35" xfId="0" applyNumberFormat="1" applyFont="1" applyFill="1" applyBorder="1" applyAlignment="1">
      <alignment horizontal="center" vertical="center"/>
    </xf>
    <xf numFmtId="2" fontId="7" fillId="6" borderId="16" xfId="0" applyNumberFormat="1" applyFont="1" applyFill="1" applyBorder="1" applyAlignment="1">
      <alignment horizontal="center" vertical="center"/>
    </xf>
    <xf numFmtId="2" fontId="7" fillId="6" borderId="2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2" fontId="14" fillId="0" borderId="23" xfId="0" applyNumberFormat="1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 wrapText="1"/>
    </xf>
    <xf numFmtId="2" fontId="14" fillId="0" borderId="22" xfId="0" applyNumberFormat="1" applyFont="1" applyFill="1" applyBorder="1" applyAlignment="1">
      <alignment horizontal="center" vertical="center" wrapText="1"/>
    </xf>
    <xf numFmtId="164" fontId="7" fillId="6" borderId="27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15" xfId="0" applyNumberFormat="1" applyFont="1" applyFill="1" applyBorder="1" applyAlignment="1">
      <alignment horizontal="center" vertical="center"/>
    </xf>
    <xf numFmtId="2" fontId="7" fillId="6" borderId="9" xfId="0" applyNumberFormat="1" applyFont="1" applyFill="1" applyBorder="1" applyAlignment="1">
      <alignment horizontal="center" vertical="center"/>
    </xf>
    <xf numFmtId="2" fontId="7" fillId="6" borderId="13" xfId="0" applyNumberFormat="1" applyFont="1" applyFill="1" applyBorder="1" applyAlignment="1">
      <alignment horizontal="center" vertical="center"/>
    </xf>
    <xf numFmtId="2" fontId="7" fillId="6" borderId="7" xfId="0" applyNumberFormat="1" applyFont="1" applyFill="1" applyBorder="1" applyAlignment="1">
      <alignment horizontal="center" vertical="center"/>
    </xf>
    <xf numFmtId="2" fontId="7" fillId="6" borderId="10" xfId="0" applyNumberFormat="1" applyFont="1" applyFill="1" applyBorder="1" applyAlignment="1">
      <alignment horizontal="center" vertical="center"/>
    </xf>
    <xf numFmtId="2" fontId="7" fillId="6" borderId="14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2" fontId="7" fillId="6" borderId="33" xfId="0" applyNumberFormat="1" applyFont="1" applyFill="1" applyBorder="1" applyAlignment="1">
      <alignment horizontal="center" vertical="center"/>
    </xf>
    <xf numFmtId="2" fontId="7" fillId="6" borderId="25" xfId="0" applyNumberFormat="1" applyFont="1" applyFill="1" applyBorder="1" applyAlignment="1">
      <alignment horizontal="center" vertical="center"/>
    </xf>
    <xf numFmtId="2" fontId="7" fillId="6" borderId="36" xfId="0" applyNumberFormat="1" applyFont="1" applyFill="1" applyBorder="1" applyAlignment="1">
      <alignment horizontal="center" vertical="center"/>
    </xf>
    <xf numFmtId="2" fontId="7" fillId="6" borderId="32" xfId="0" applyNumberFormat="1" applyFont="1" applyFill="1" applyBorder="1" applyAlignment="1">
      <alignment horizontal="center" vertical="center"/>
    </xf>
    <xf numFmtId="2" fontId="7" fillId="6" borderId="26" xfId="0" applyNumberFormat="1" applyFont="1" applyFill="1" applyBorder="1" applyAlignment="1">
      <alignment horizontal="center" vertical="center"/>
    </xf>
    <xf numFmtId="2" fontId="7" fillId="6" borderId="41" xfId="0" applyNumberFormat="1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top" wrapText="1"/>
    </xf>
    <xf numFmtId="0" fontId="5" fillId="6" borderId="43" xfId="0" applyFont="1" applyFill="1" applyBorder="1" applyAlignment="1">
      <alignment horizontal="center" vertical="top" wrapText="1"/>
    </xf>
    <xf numFmtId="0" fontId="5" fillId="6" borderId="44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horizontal="center" vertical="top" wrapText="1"/>
    </xf>
    <xf numFmtId="0" fontId="5" fillId="6" borderId="31" xfId="0" applyFont="1" applyFill="1" applyBorder="1" applyAlignment="1">
      <alignment horizontal="center" vertical="top" wrapText="1"/>
    </xf>
    <xf numFmtId="0" fontId="5" fillId="6" borderId="23" xfId="0" applyFont="1" applyFill="1" applyBorder="1" applyAlignment="1">
      <alignment horizontal="center" vertical="top" wrapText="1"/>
    </xf>
    <xf numFmtId="2" fontId="7" fillId="6" borderId="3" xfId="0" applyNumberFormat="1" applyFont="1" applyFill="1" applyBorder="1" applyAlignment="1">
      <alignment horizontal="center" vertical="center"/>
    </xf>
    <xf numFmtId="2" fontId="7" fillId="6" borderId="4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2" fontId="7" fillId="6" borderId="20" xfId="0" applyNumberFormat="1" applyFont="1" applyFill="1" applyBorder="1" applyAlignment="1">
      <alignment horizontal="center" vertical="center"/>
    </xf>
    <xf numFmtId="2" fontId="7" fillId="6" borderId="37" xfId="0" applyNumberFormat="1" applyFont="1" applyFill="1" applyBorder="1" applyAlignment="1">
      <alignment horizontal="center" vertical="center"/>
    </xf>
    <xf numFmtId="2" fontId="7" fillId="6" borderId="18" xfId="0" applyNumberFormat="1" applyFont="1" applyFill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center" vertical="center"/>
    </xf>
    <xf numFmtId="2" fontId="14" fillId="6" borderId="23" xfId="0" applyNumberFormat="1" applyFont="1" applyFill="1" applyBorder="1" applyAlignment="1">
      <alignment horizontal="center" vertical="center" wrapText="1"/>
    </xf>
    <xf numFmtId="2" fontId="14" fillId="6" borderId="11" xfId="0" applyNumberFormat="1" applyFont="1" applyFill="1" applyBorder="1" applyAlignment="1">
      <alignment horizontal="center" vertical="center" wrapText="1"/>
    </xf>
    <xf numFmtId="2" fontId="14" fillId="6" borderId="22" xfId="0" applyNumberFormat="1" applyFont="1" applyFill="1" applyBorder="1" applyAlignment="1">
      <alignment horizontal="center" vertical="center" wrapText="1"/>
    </xf>
    <xf numFmtId="2" fontId="7" fillId="6" borderId="2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X696"/>
  <sheetViews>
    <sheetView tabSelected="1" view="pageBreakPreview" zoomScale="55" zoomScaleNormal="60" zoomScaleSheetLayoutView="55" workbookViewId="0">
      <pane ySplit="7" topLeftCell="A542" activePane="bottomLeft" state="frozen"/>
      <selection pane="bottomLeft" activeCell="A287" sqref="A287:XFD287"/>
    </sheetView>
  </sheetViews>
  <sheetFormatPr defaultRowHeight="18.75" x14ac:dyDescent="0.3"/>
  <cols>
    <col min="1" max="1" width="8.28515625" style="134" customWidth="1"/>
    <col min="2" max="2" width="63.28515625" style="140" customWidth="1"/>
    <col min="3" max="3" width="20.7109375" style="136" customWidth="1"/>
    <col min="4" max="4" width="16.28515625" style="145" customWidth="1"/>
    <col min="5" max="6" width="15.85546875" style="145" customWidth="1"/>
    <col min="7" max="7" width="15.85546875" style="154" customWidth="1"/>
    <col min="8" max="11" width="11.42578125" style="145" customWidth="1"/>
    <col min="12" max="12" width="11.42578125" style="155" customWidth="1"/>
    <col min="13" max="13" width="12.85546875" style="155" customWidth="1"/>
    <col min="14" max="14" width="11.42578125" style="155" customWidth="1"/>
    <col min="15" max="15" width="11.42578125" style="145" customWidth="1"/>
    <col min="16" max="16" width="10.5703125" style="83" customWidth="1"/>
    <col min="17" max="17" width="12.85546875" style="156" customWidth="1"/>
    <col min="18" max="19" width="24" style="245" customWidth="1"/>
    <col min="20" max="16384" width="9.140625" style="1"/>
  </cols>
  <sheetData>
    <row r="1" spans="1:19" s="39" customFormat="1" ht="19.5" x14ac:dyDescent="0.2">
      <c r="A1" s="78"/>
      <c r="B1" s="79" t="s">
        <v>70</v>
      </c>
      <c r="C1" s="80"/>
      <c r="D1" s="81"/>
      <c r="E1" s="82"/>
      <c r="F1" s="82"/>
      <c r="G1" s="81"/>
      <c r="H1" s="146"/>
      <c r="I1" s="146"/>
      <c r="J1" s="146"/>
      <c r="K1" s="146"/>
      <c r="L1" s="147"/>
      <c r="M1" s="147"/>
      <c r="N1" s="147"/>
      <c r="O1" s="146"/>
      <c r="P1" s="134"/>
      <c r="Q1" s="119"/>
      <c r="R1" s="234"/>
      <c r="S1" s="234"/>
    </row>
    <row r="2" spans="1:19" s="40" customFormat="1" ht="40.5" customHeight="1" x14ac:dyDescent="0.2">
      <c r="A2" s="85"/>
      <c r="B2" s="281" t="s">
        <v>36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134"/>
      <c r="Q2" s="119"/>
      <c r="R2" s="234"/>
      <c r="S2" s="234"/>
    </row>
    <row r="3" spans="1:19" s="39" customFormat="1" ht="20.25" thickBot="1" x14ac:dyDescent="0.25">
      <c r="A3" s="78"/>
      <c r="B3" s="86"/>
      <c r="C3" s="87"/>
      <c r="D3" s="82"/>
      <c r="E3" s="82"/>
      <c r="F3" s="82"/>
      <c r="G3" s="82"/>
      <c r="H3" s="81"/>
      <c r="I3" s="81"/>
      <c r="J3" s="81"/>
      <c r="K3" s="81"/>
      <c r="L3" s="118"/>
      <c r="M3" s="118"/>
      <c r="N3" s="118"/>
      <c r="O3" s="81"/>
      <c r="P3" s="134"/>
      <c r="Q3" s="148"/>
      <c r="R3" s="234"/>
      <c r="S3" s="234"/>
    </row>
    <row r="4" spans="1:19" s="39" customFormat="1" ht="19.5" customHeight="1" thickBot="1" x14ac:dyDescent="0.25">
      <c r="A4" s="308"/>
      <c r="B4" s="296" t="s">
        <v>0</v>
      </c>
      <c r="C4" s="285" t="s">
        <v>1</v>
      </c>
      <c r="D4" s="289" t="s">
        <v>16</v>
      </c>
      <c r="E4" s="289" t="s">
        <v>17</v>
      </c>
      <c r="F4" s="289" t="s">
        <v>15</v>
      </c>
      <c r="G4" s="291" t="s">
        <v>10</v>
      </c>
      <c r="H4" s="335" t="s">
        <v>21</v>
      </c>
      <c r="I4" s="336"/>
      <c r="J4" s="336"/>
      <c r="K4" s="337"/>
      <c r="L4" s="287" t="s">
        <v>22</v>
      </c>
      <c r="M4" s="288"/>
      <c r="N4" s="288"/>
      <c r="O4" s="288"/>
      <c r="P4" s="149"/>
      <c r="Q4" s="150"/>
      <c r="R4" s="320" t="s">
        <v>237</v>
      </c>
      <c r="S4" s="320" t="s">
        <v>238</v>
      </c>
    </row>
    <row r="5" spans="1:19" s="39" customFormat="1" ht="12.75" customHeight="1" x14ac:dyDescent="0.2">
      <c r="A5" s="309"/>
      <c r="B5" s="297"/>
      <c r="C5" s="286"/>
      <c r="D5" s="290"/>
      <c r="E5" s="290"/>
      <c r="F5" s="290"/>
      <c r="G5" s="292"/>
      <c r="H5" s="311" t="s">
        <v>23</v>
      </c>
      <c r="I5" s="282" t="s">
        <v>24</v>
      </c>
      <c r="J5" s="282" t="s">
        <v>25</v>
      </c>
      <c r="K5" s="293" t="s">
        <v>26</v>
      </c>
      <c r="L5" s="323" t="s">
        <v>27</v>
      </c>
      <c r="M5" s="323" t="s">
        <v>28</v>
      </c>
      <c r="N5" s="323" t="s">
        <v>29</v>
      </c>
      <c r="O5" s="332" t="s">
        <v>30</v>
      </c>
      <c r="P5" s="326" t="s">
        <v>105</v>
      </c>
      <c r="Q5" s="329" t="s">
        <v>108</v>
      </c>
      <c r="R5" s="321"/>
      <c r="S5" s="321"/>
    </row>
    <row r="6" spans="1:19" s="39" customFormat="1" ht="12.75" customHeight="1" x14ac:dyDescent="0.2">
      <c r="A6" s="309"/>
      <c r="B6" s="297"/>
      <c r="C6" s="286"/>
      <c r="D6" s="290"/>
      <c r="E6" s="290"/>
      <c r="F6" s="290"/>
      <c r="G6" s="292"/>
      <c r="H6" s="312"/>
      <c r="I6" s="283"/>
      <c r="J6" s="283"/>
      <c r="K6" s="294"/>
      <c r="L6" s="324"/>
      <c r="M6" s="324"/>
      <c r="N6" s="324"/>
      <c r="O6" s="333"/>
      <c r="P6" s="327"/>
      <c r="Q6" s="330"/>
      <c r="R6" s="321"/>
      <c r="S6" s="321"/>
    </row>
    <row r="7" spans="1:19" s="39" customFormat="1" ht="21" customHeight="1" thickBot="1" x14ac:dyDescent="0.25">
      <c r="A7" s="310"/>
      <c r="B7" s="298"/>
      <c r="C7" s="89" t="s">
        <v>2</v>
      </c>
      <c r="D7" s="90" t="s">
        <v>2</v>
      </c>
      <c r="E7" s="91" t="s">
        <v>2</v>
      </c>
      <c r="F7" s="90" t="s">
        <v>2</v>
      </c>
      <c r="G7" s="92" t="s">
        <v>9</v>
      </c>
      <c r="H7" s="313"/>
      <c r="I7" s="284"/>
      <c r="J7" s="284"/>
      <c r="K7" s="295"/>
      <c r="L7" s="325"/>
      <c r="M7" s="325"/>
      <c r="N7" s="325"/>
      <c r="O7" s="334"/>
      <c r="P7" s="328"/>
      <c r="Q7" s="331"/>
      <c r="R7" s="322"/>
      <c r="S7" s="322"/>
    </row>
    <row r="8" spans="1:19" s="37" customFormat="1" x14ac:dyDescent="0.2">
      <c r="A8" s="316" t="s">
        <v>41</v>
      </c>
      <c r="B8" s="317"/>
      <c r="C8" s="317"/>
      <c r="D8" s="317"/>
      <c r="E8" s="317"/>
      <c r="F8" s="317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9"/>
    </row>
    <row r="9" spans="1:19" s="37" customFormat="1" x14ac:dyDescent="0.2">
      <c r="A9" s="314" t="s">
        <v>3</v>
      </c>
      <c r="B9" s="315"/>
      <c r="C9" s="315"/>
      <c r="D9" s="315"/>
      <c r="E9" s="315"/>
      <c r="F9" s="315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3"/>
    </row>
    <row r="10" spans="1:19" s="63" customFormat="1" x14ac:dyDescent="0.2">
      <c r="A10" s="49">
        <v>1</v>
      </c>
      <c r="B10" s="47" t="s">
        <v>260</v>
      </c>
      <c r="C10" s="41">
        <v>150</v>
      </c>
      <c r="D10" s="42">
        <f>3.15*C10/100</f>
        <v>4.7249999999999996</v>
      </c>
      <c r="E10" s="42">
        <f>7.08*C10/100</f>
        <v>10.62</v>
      </c>
      <c r="F10" s="42">
        <f>12.47*C10/100</f>
        <v>18.704999999999998</v>
      </c>
      <c r="G10" s="42">
        <f>126.2*C10/100</f>
        <v>189.3</v>
      </c>
      <c r="H10" s="42">
        <f>0.17*C10/100</f>
        <v>0.25500000000000006</v>
      </c>
      <c r="I10" s="42">
        <f>7.8*C10/100</f>
        <v>11.7</v>
      </c>
      <c r="J10" s="42">
        <f>0.02*C10/100</f>
        <v>0.03</v>
      </c>
      <c r="K10" s="42">
        <f>0.06*C10/100</f>
        <v>0.09</v>
      </c>
      <c r="L10" s="48">
        <f>11.3*C10/100</f>
        <v>16.95</v>
      </c>
      <c r="M10" s="48">
        <f>69.56*C10/100</f>
        <v>104.34</v>
      </c>
      <c r="N10" s="48">
        <f>26.95*C10/100</f>
        <v>40.424999999999997</v>
      </c>
      <c r="O10" s="42">
        <f>0.76*C10/100</f>
        <v>1.1399999999999999</v>
      </c>
      <c r="P10" s="49">
        <f>0.02*C10/100</f>
        <v>0.03</v>
      </c>
      <c r="Q10" s="49">
        <v>3.5</v>
      </c>
      <c r="R10" s="233">
        <v>120209</v>
      </c>
      <c r="S10" s="233">
        <v>120210</v>
      </c>
    </row>
    <row r="11" spans="1:19" s="63" customFormat="1" x14ac:dyDescent="0.2">
      <c r="A11" s="49">
        <v>2</v>
      </c>
      <c r="B11" s="47" t="s">
        <v>122</v>
      </c>
      <c r="C11" s="41">
        <v>200</v>
      </c>
      <c r="D11" s="94">
        <f>2.25*C11/100</f>
        <v>4.5</v>
      </c>
      <c r="E11" s="94">
        <f>2.24*C11/100</f>
        <v>4.4800000000000004</v>
      </c>
      <c r="F11" s="94">
        <f>10.25*C11/100</f>
        <v>20.5</v>
      </c>
      <c r="G11" s="94">
        <f>70.23*C11/100</f>
        <v>140.46</v>
      </c>
      <c r="H11" s="42">
        <f>0.13*C11/100</f>
        <v>0.26</v>
      </c>
      <c r="I11" s="42">
        <f>7*C11/100</f>
        <v>14</v>
      </c>
      <c r="J11" s="42">
        <f>0*C11/100</f>
        <v>0</v>
      </c>
      <c r="K11" s="42">
        <v>0</v>
      </c>
      <c r="L11" s="48">
        <f>1.55*C11/100</f>
        <v>3.1</v>
      </c>
      <c r="M11" s="48">
        <v>0</v>
      </c>
      <c r="N11" s="48">
        <f>0.3*C11/100</f>
        <v>0.6</v>
      </c>
      <c r="O11" s="42">
        <f>0.02*C11/100</f>
        <v>0.04</v>
      </c>
      <c r="P11" s="49">
        <v>0</v>
      </c>
      <c r="Q11" s="49">
        <v>3.58</v>
      </c>
      <c r="R11" s="233">
        <v>160104</v>
      </c>
      <c r="S11" s="233"/>
    </row>
    <row r="12" spans="1:19" s="63" customFormat="1" ht="56.25" x14ac:dyDescent="0.2">
      <c r="A12" s="49">
        <v>3</v>
      </c>
      <c r="B12" s="47" t="s">
        <v>188</v>
      </c>
      <c r="C12" s="59">
        <v>20</v>
      </c>
      <c r="D12" s="60">
        <f>26*C12/100</f>
        <v>5.2</v>
      </c>
      <c r="E12" s="60">
        <f>26.1*C12/100</f>
        <v>5.22</v>
      </c>
      <c r="F12" s="60">
        <f>0*C12/100</f>
        <v>0</v>
      </c>
      <c r="G12" s="42">
        <f>344*C12/100</f>
        <v>68.8</v>
      </c>
      <c r="H12" s="49">
        <f>0.03*C12/100</f>
        <v>6.0000000000000001E-3</v>
      </c>
      <c r="I12" s="49">
        <f>0.8*C12/100</f>
        <v>0.16</v>
      </c>
      <c r="J12" s="49">
        <f>0.23*C12/100</f>
        <v>4.6000000000000006E-2</v>
      </c>
      <c r="K12" s="49">
        <f>0.5*C12/100</f>
        <v>0.1</v>
      </c>
      <c r="L12" s="48">
        <f>1000*C12/100</f>
        <v>200</v>
      </c>
      <c r="M12" s="48">
        <f>650*C12/100</f>
        <v>130</v>
      </c>
      <c r="N12" s="48">
        <f>45*C12/100</f>
        <v>9</v>
      </c>
      <c r="O12" s="49">
        <f>0.8*C12/100</f>
        <v>0.16</v>
      </c>
      <c r="P12" s="49">
        <f>0.3*C12/100</f>
        <v>0.06</v>
      </c>
      <c r="Q12" s="49">
        <v>0</v>
      </c>
      <c r="R12" s="233">
        <v>100102</v>
      </c>
      <c r="S12" s="233"/>
    </row>
    <row r="13" spans="1:19" s="63" customFormat="1" x14ac:dyDescent="0.2">
      <c r="A13" s="49">
        <v>4</v>
      </c>
      <c r="B13" s="96" t="s">
        <v>142</v>
      </c>
      <c r="C13" s="41">
        <v>30</v>
      </c>
      <c r="D13" s="42">
        <f>8.8*C13/100</f>
        <v>2.64</v>
      </c>
      <c r="E13" s="42">
        <f>1.7*C13/100</f>
        <v>0.51</v>
      </c>
      <c r="F13" s="42">
        <f>29.4*C13/100</f>
        <v>8.82</v>
      </c>
      <c r="G13" s="42">
        <f>168*C13/100</f>
        <v>50.4</v>
      </c>
      <c r="H13" s="42">
        <f>0.34*C13/100</f>
        <v>0.10200000000000001</v>
      </c>
      <c r="I13" s="42">
        <f>0*C13/100</f>
        <v>0</v>
      </c>
      <c r="J13" s="42">
        <v>0</v>
      </c>
      <c r="K13" s="42">
        <f>1.5*C13/100</f>
        <v>0.45</v>
      </c>
      <c r="L13" s="48">
        <f>148.1*C13/100</f>
        <v>44.43</v>
      </c>
      <c r="M13" s="48">
        <f>0*C13/100</f>
        <v>0</v>
      </c>
      <c r="N13" s="48">
        <f>16*C13/100</f>
        <v>4.8</v>
      </c>
      <c r="O13" s="42">
        <f>2.4*C13/100</f>
        <v>0.72</v>
      </c>
      <c r="P13" s="56">
        <f>0.2*C13/100</f>
        <v>0.06</v>
      </c>
      <c r="Q13" s="56">
        <v>10</v>
      </c>
      <c r="R13" s="233">
        <v>200101</v>
      </c>
      <c r="S13" s="233"/>
    </row>
    <row r="14" spans="1:19" s="63" customFormat="1" x14ac:dyDescent="0.2">
      <c r="A14" s="49">
        <v>5</v>
      </c>
      <c r="B14" s="47" t="s">
        <v>268</v>
      </c>
      <c r="C14" s="41">
        <v>150</v>
      </c>
      <c r="D14" s="42">
        <f>5.5*C14/100</f>
        <v>8.25</v>
      </c>
      <c r="E14" s="42">
        <v>0</v>
      </c>
      <c r="F14" s="42">
        <f>20.56*C14/100</f>
        <v>30.84</v>
      </c>
      <c r="G14" s="42">
        <f>104*C14/100</f>
        <v>156</v>
      </c>
      <c r="H14" s="42">
        <v>0</v>
      </c>
      <c r="I14" s="42">
        <f>0.8*C14/100</f>
        <v>1.2</v>
      </c>
      <c r="J14" s="42">
        <v>0</v>
      </c>
      <c r="K14" s="42">
        <v>0</v>
      </c>
      <c r="L14" s="48">
        <f>28.96*C14/100</f>
        <v>43.44</v>
      </c>
      <c r="M14" s="48">
        <f>9.26*C14/100</f>
        <v>13.89</v>
      </c>
      <c r="N14" s="48">
        <f>3.51*C14/100</f>
        <v>5.2649999999999997</v>
      </c>
      <c r="O14" s="42">
        <f>0.1*C14/100</f>
        <v>0.15</v>
      </c>
      <c r="P14" s="56">
        <v>0</v>
      </c>
      <c r="Q14" s="56">
        <v>0</v>
      </c>
      <c r="R14" s="233">
        <v>220101</v>
      </c>
      <c r="S14" s="233">
        <v>220102</v>
      </c>
    </row>
    <row r="15" spans="1:19" s="37" customFormat="1" x14ac:dyDescent="0.2">
      <c r="A15" s="49"/>
      <c r="B15" s="151" t="s">
        <v>4</v>
      </c>
      <c r="C15" s="109"/>
      <c r="D15" s="169">
        <f t="shared" ref="D15:Q15" si="0">SUM(D10:D14)</f>
        <v>25.315000000000001</v>
      </c>
      <c r="E15" s="169">
        <f t="shared" si="0"/>
        <v>20.830000000000002</v>
      </c>
      <c r="F15" s="169">
        <f t="shared" si="0"/>
        <v>78.864999999999995</v>
      </c>
      <c r="G15" s="169">
        <f t="shared" si="0"/>
        <v>604.96</v>
      </c>
      <c r="H15" s="169">
        <f t="shared" si="0"/>
        <v>0.62300000000000011</v>
      </c>
      <c r="I15" s="169">
        <f t="shared" si="0"/>
        <v>27.06</v>
      </c>
      <c r="J15" s="169">
        <f t="shared" si="0"/>
        <v>7.6000000000000012E-2</v>
      </c>
      <c r="K15" s="169">
        <f t="shared" si="0"/>
        <v>0.64</v>
      </c>
      <c r="L15" s="152">
        <f t="shared" si="0"/>
        <v>307.92</v>
      </c>
      <c r="M15" s="152">
        <f t="shared" si="0"/>
        <v>248.23000000000002</v>
      </c>
      <c r="N15" s="152">
        <f t="shared" si="0"/>
        <v>60.089999999999996</v>
      </c>
      <c r="O15" s="169">
        <f t="shared" si="0"/>
        <v>2.2099999999999995</v>
      </c>
      <c r="P15" s="169">
        <f t="shared" si="0"/>
        <v>0.15</v>
      </c>
      <c r="Q15" s="169">
        <f t="shared" si="0"/>
        <v>17.079999999999998</v>
      </c>
      <c r="R15" s="233"/>
      <c r="S15" s="233"/>
    </row>
    <row r="16" spans="1:19" s="37" customFormat="1" x14ac:dyDescent="0.2">
      <c r="A16" s="299" t="s">
        <v>5</v>
      </c>
      <c r="B16" s="299"/>
      <c r="C16" s="299"/>
      <c r="D16" s="299"/>
      <c r="E16" s="299"/>
      <c r="F16" s="299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</row>
    <row r="17" spans="1:19" s="63" customFormat="1" ht="37.5" x14ac:dyDescent="0.2">
      <c r="A17" s="49">
        <v>1</v>
      </c>
      <c r="B17" s="47" t="s">
        <v>149</v>
      </c>
      <c r="C17" s="41">
        <v>60</v>
      </c>
      <c r="D17" s="42">
        <f>1.43*C17/100</f>
        <v>0.85799999999999998</v>
      </c>
      <c r="E17" s="42">
        <f>8.09*C17/100</f>
        <v>4.8540000000000001</v>
      </c>
      <c r="F17" s="42">
        <f>6.34*C17/100</f>
        <v>3.8039999999999998</v>
      </c>
      <c r="G17" s="42">
        <f>104.62*C17/100</f>
        <v>62.772000000000006</v>
      </c>
      <c r="H17" s="42">
        <f>C17*0.03/100</f>
        <v>1.7999999999999999E-2</v>
      </c>
      <c r="I17" s="42">
        <f>C17*7.34/100</f>
        <v>4.4039999999999999</v>
      </c>
      <c r="J17" s="42">
        <f>C17*7.86/100000</f>
        <v>4.7160000000000006E-3</v>
      </c>
      <c r="K17" s="42">
        <f>C17*1.46/100</f>
        <v>0.87599999999999989</v>
      </c>
      <c r="L17" s="48">
        <f>C17*29.67/100</f>
        <v>17.802</v>
      </c>
      <c r="M17" s="48">
        <f>C17*38.09/100</f>
        <v>22.853999999999999</v>
      </c>
      <c r="N17" s="48">
        <f>C17*18.21/100</f>
        <v>10.926000000000002</v>
      </c>
      <c r="O17" s="42">
        <f>C17*1.06/100</f>
        <v>0.63600000000000001</v>
      </c>
      <c r="P17" s="49">
        <f>0.03*C17/100</f>
        <v>1.7999999999999999E-2</v>
      </c>
      <c r="Q17" s="49">
        <v>2.62</v>
      </c>
      <c r="R17" s="233">
        <v>100403</v>
      </c>
      <c r="S17" s="233"/>
    </row>
    <row r="18" spans="1:19" s="63" customFormat="1" x14ac:dyDescent="0.2">
      <c r="A18" s="49">
        <v>2</v>
      </c>
      <c r="B18" s="47" t="s">
        <v>68</v>
      </c>
      <c r="C18" s="41">
        <v>250</v>
      </c>
      <c r="D18" s="42">
        <f>0.4*C18/100</f>
        <v>1</v>
      </c>
      <c r="E18" s="42">
        <f>0.63*C18/100</f>
        <v>1.575</v>
      </c>
      <c r="F18" s="42">
        <f>3.3*C18/100</f>
        <v>8.25</v>
      </c>
      <c r="G18" s="42">
        <f>20.2*C18/100</f>
        <v>50.5</v>
      </c>
      <c r="H18" s="42">
        <f>0.05*C18/100</f>
        <v>0.125</v>
      </c>
      <c r="I18" s="42">
        <f>6.22*C18/100</f>
        <v>15.55</v>
      </c>
      <c r="J18" s="42">
        <f>0.01*C18/100</f>
        <v>2.5000000000000001E-2</v>
      </c>
      <c r="K18" s="42">
        <f>0.09*C18/100</f>
        <v>0.22500000000000001</v>
      </c>
      <c r="L18" s="48">
        <f>17.65*C18/100</f>
        <v>44.125</v>
      </c>
      <c r="M18" s="48">
        <f>57.77*C18/100</f>
        <v>144.42500000000001</v>
      </c>
      <c r="N18" s="48">
        <f>13.17*C18/100</f>
        <v>32.924999999999997</v>
      </c>
      <c r="O18" s="42">
        <f>2.1*C18/100</f>
        <v>5.25</v>
      </c>
      <c r="P18" s="49">
        <f>0.07*C18/100</f>
        <v>0.17499999999999999</v>
      </c>
      <c r="Q18" s="49">
        <v>2.9</v>
      </c>
      <c r="R18" s="233">
        <v>110105</v>
      </c>
      <c r="S18" s="233">
        <v>110106</v>
      </c>
    </row>
    <row r="19" spans="1:19" s="63" customFormat="1" x14ac:dyDescent="0.2">
      <c r="A19" s="49">
        <v>3</v>
      </c>
      <c r="B19" s="47" t="s">
        <v>18</v>
      </c>
      <c r="C19" s="41">
        <v>100</v>
      </c>
      <c r="D19" s="42">
        <f>13.9*C19/100</f>
        <v>13.9</v>
      </c>
      <c r="E19" s="42">
        <f>7*C19/100</f>
        <v>7</v>
      </c>
      <c r="F19" s="42">
        <f>6*C19/100</f>
        <v>6</v>
      </c>
      <c r="G19" s="42">
        <f>142.6*C19/100</f>
        <v>142.6</v>
      </c>
      <c r="H19" s="42">
        <f>0.1*C19/100</f>
        <v>0.1</v>
      </c>
      <c r="I19" s="42">
        <f>1*C19/100</f>
        <v>1</v>
      </c>
      <c r="J19" s="42">
        <f>0.02*C19/100</f>
        <v>0.02</v>
      </c>
      <c r="K19" s="42">
        <f>0.19*C19/100</f>
        <v>0.19</v>
      </c>
      <c r="L19" s="48">
        <f>24.38*C19/100</f>
        <v>24.38</v>
      </c>
      <c r="M19" s="48">
        <f>193.3*C19/100</f>
        <v>193.3</v>
      </c>
      <c r="N19" s="48">
        <f>29.91*C19/100</f>
        <v>29.91</v>
      </c>
      <c r="O19" s="42">
        <f>2.79*C19/100</f>
        <v>2.79</v>
      </c>
      <c r="P19" s="49">
        <f>0.2*C19/100</f>
        <v>0.2</v>
      </c>
      <c r="Q19" s="49">
        <v>3.83</v>
      </c>
      <c r="R19" s="233">
        <v>120507</v>
      </c>
      <c r="S19" s="233">
        <v>120508</v>
      </c>
    </row>
    <row r="20" spans="1:19" s="64" customFormat="1" ht="18.75" customHeight="1" x14ac:dyDescent="0.25">
      <c r="A20" s="49">
        <v>4</v>
      </c>
      <c r="B20" s="47" t="s">
        <v>114</v>
      </c>
      <c r="C20" s="41">
        <v>150</v>
      </c>
      <c r="D20" s="42">
        <f>3.1*C20/100</f>
        <v>4.6500000000000004</v>
      </c>
      <c r="E20" s="42">
        <f>2.8*C20/100</f>
        <v>4.2</v>
      </c>
      <c r="F20" s="42">
        <f>30.3*C20/100</f>
        <v>45.45</v>
      </c>
      <c r="G20" s="42">
        <f>166.8*C20/100</f>
        <v>250.2</v>
      </c>
      <c r="H20" s="42">
        <f>0.04*C20/100</f>
        <v>0.06</v>
      </c>
      <c r="I20" s="42">
        <f>0*C20/100</f>
        <v>0</v>
      </c>
      <c r="J20" s="42">
        <f>0.02*C20/100</f>
        <v>0.03</v>
      </c>
      <c r="K20" s="42">
        <f>0.05*C20/100</f>
        <v>7.4999999999999997E-2</v>
      </c>
      <c r="L20" s="48">
        <f>3.95*C20/100</f>
        <v>5.9249999999999998</v>
      </c>
      <c r="M20" s="48">
        <f>23.34*C20/100</f>
        <v>35.01</v>
      </c>
      <c r="N20" s="48">
        <f>5.12*C20/100</f>
        <v>7.68</v>
      </c>
      <c r="O20" s="42">
        <f>0.5*C20/100</f>
        <v>0.75</v>
      </c>
      <c r="P20" s="49">
        <f>0.01*C20/100</f>
        <v>1.4999999999999999E-2</v>
      </c>
      <c r="Q20" s="49">
        <f>1.5*C20/100</f>
        <v>2.25</v>
      </c>
      <c r="R20" s="235">
        <v>130401</v>
      </c>
      <c r="S20" s="235">
        <v>130402</v>
      </c>
    </row>
    <row r="21" spans="1:19" s="37" customFormat="1" ht="22.5" customHeight="1" x14ac:dyDescent="0.2">
      <c r="A21" s="49">
        <v>5</v>
      </c>
      <c r="B21" s="47" t="s">
        <v>228</v>
      </c>
      <c r="C21" s="41">
        <v>200</v>
      </c>
      <c r="D21" s="42">
        <f>0.4*C21/100</f>
        <v>0.8</v>
      </c>
      <c r="E21" s="42">
        <f>0.06*C21/100</f>
        <v>0.12</v>
      </c>
      <c r="F21" s="42">
        <f>13.24*C21/100</f>
        <v>26.48</v>
      </c>
      <c r="G21" s="42">
        <f>46.13*C21/100</f>
        <v>92.26</v>
      </c>
      <c r="H21" s="42">
        <f>0.01*C21/100</f>
        <v>0.02</v>
      </c>
      <c r="I21" s="42">
        <f>0.28*C21/100</f>
        <v>0.56000000000000005</v>
      </c>
      <c r="J21" s="42">
        <f>0*C21/100</f>
        <v>0</v>
      </c>
      <c r="K21" s="42">
        <f>0.02*C21/100</f>
        <v>0.04</v>
      </c>
      <c r="L21" s="48">
        <f>17.8*C21/100</f>
        <v>35.6</v>
      </c>
      <c r="M21" s="48">
        <f>14.97*C21/100</f>
        <v>29.94</v>
      </c>
      <c r="N21" s="48">
        <f>11.17*C21/100</f>
        <v>22.34</v>
      </c>
      <c r="O21" s="42">
        <f>0.39*C21/100</f>
        <v>0.78</v>
      </c>
      <c r="P21" s="62">
        <f>0.02*C21/100</f>
        <v>0.04</v>
      </c>
      <c r="Q21" s="62">
        <v>2.3199999999999998</v>
      </c>
      <c r="R21" s="233">
        <v>160211</v>
      </c>
      <c r="S21" s="233"/>
    </row>
    <row r="22" spans="1:19" s="63" customFormat="1" x14ac:dyDescent="0.2">
      <c r="A22" s="49">
        <v>6</v>
      </c>
      <c r="B22" s="47" t="s">
        <v>160</v>
      </c>
      <c r="C22" s="41">
        <v>40</v>
      </c>
      <c r="D22" s="42">
        <f>7.76*C22/100</f>
        <v>3.1039999999999996</v>
      </c>
      <c r="E22" s="42">
        <f>2.65*C22/100</f>
        <v>1.06</v>
      </c>
      <c r="F22" s="42">
        <f>53.25*C22/100</f>
        <v>21.3</v>
      </c>
      <c r="G22" s="42">
        <f>273*C22/100</f>
        <v>109.2</v>
      </c>
      <c r="H22" s="42">
        <f>0.34*C22/100</f>
        <v>0.13600000000000001</v>
      </c>
      <c r="I22" s="42">
        <f>0*C22/100</f>
        <v>0</v>
      </c>
      <c r="J22" s="42">
        <v>0</v>
      </c>
      <c r="K22" s="42">
        <f>1.5*C22/100</f>
        <v>0.6</v>
      </c>
      <c r="L22" s="48">
        <f>148.1*C22/100</f>
        <v>59.24</v>
      </c>
      <c r="M22" s="48">
        <f>0*C22/100</f>
        <v>0</v>
      </c>
      <c r="N22" s="48">
        <f>16*C22/100</f>
        <v>6.4</v>
      </c>
      <c r="O22" s="42">
        <f>2.4*C22/100</f>
        <v>0.96</v>
      </c>
      <c r="P22" s="56">
        <f>0.2*C22/100</f>
        <v>0.08</v>
      </c>
      <c r="Q22" s="56">
        <f>1.5*C22/100</f>
        <v>0.6</v>
      </c>
      <c r="R22" s="233">
        <v>200102</v>
      </c>
      <c r="S22" s="233"/>
    </row>
    <row r="23" spans="1:19" s="63" customFormat="1" x14ac:dyDescent="0.2">
      <c r="A23" s="49">
        <v>7</v>
      </c>
      <c r="B23" s="47" t="s">
        <v>159</v>
      </c>
      <c r="C23" s="41">
        <v>20</v>
      </c>
      <c r="D23" s="42">
        <f>5.86*C23/100</f>
        <v>1.1719999999999999</v>
      </c>
      <c r="E23" s="42">
        <f>0.94*C23/100</f>
        <v>0.18799999999999997</v>
      </c>
      <c r="F23" s="42">
        <f>44.4*C23/100</f>
        <v>8.8800000000000008</v>
      </c>
      <c r="G23" s="42">
        <f>189*C23/100</f>
        <v>37.799999999999997</v>
      </c>
      <c r="H23" s="42">
        <f>0.4*C23/100</f>
        <v>0.08</v>
      </c>
      <c r="I23" s="42">
        <f>0.03*C23/100</f>
        <v>6.0000000000000001E-3</v>
      </c>
      <c r="J23" s="42">
        <v>0</v>
      </c>
      <c r="K23" s="42">
        <f>1.7*C23/100</f>
        <v>0.34</v>
      </c>
      <c r="L23" s="48">
        <f>25.4*C23/100</f>
        <v>5.08</v>
      </c>
      <c r="M23" s="48">
        <f>105.53*C23/100</f>
        <v>21.105999999999998</v>
      </c>
      <c r="N23" s="48">
        <f>36.5*C23/100</f>
        <v>7.3</v>
      </c>
      <c r="O23" s="42">
        <f>2.45*C23/100</f>
        <v>0.49</v>
      </c>
      <c r="P23" s="56">
        <f>0.2*C23/100</f>
        <v>0.04</v>
      </c>
      <c r="Q23" s="56">
        <f>10*C23/100</f>
        <v>2</v>
      </c>
      <c r="R23" s="233">
        <v>200103</v>
      </c>
      <c r="S23" s="233"/>
    </row>
    <row r="24" spans="1:19" s="63" customFormat="1" x14ac:dyDescent="0.2">
      <c r="A24" s="49">
        <v>8</v>
      </c>
      <c r="B24" s="47" t="s">
        <v>285</v>
      </c>
      <c r="C24" s="41">
        <v>20</v>
      </c>
      <c r="D24" s="42">
        <f>20.5*C24/100</f>
        <v>4.0999999999999996</v>
      </c>
      <c r="E24" s="42">
        <f>11.5*C24/100</f>
        <v>2.2999999999999998</v>
      </c>
      <c r="F24" s="42">
        <f>66*C24/100</f>
        <v>13.2</v>
      </c>
      <c r="G24" s="42">
        <f>470*C24/100</f>
        <v>94</v>
      </c>
      <c r="H24" s="42">
        <f>2*C24/100</f>
        <v>0.4</v>
      </c>
      <c r="I24" s="42">
        <f>56*C24/100</f>
        <v>11.2</v>
      </c>
      <c r="J24" s="42">
        <f t="shared" ref="J24:Q24" si="1">11.5*H24/100</f>
        <v>4.6000000000000006E-2</v>
      </c>
      <c r="K24" s="42">
        <v>0</v>
      </c>
      <c r="L24" s="42">
        <f>15.5*C24/100</f>
        <v>3.1</v>
      </c>
      <c r="M24" s="42">
        <f t="shared" si="1"/>
        <v>0</v>
      </c>
      <c r="N24" s="42">
        <f t="shared" si="1"/>
        <v>0.35649999999999998</v>
      </c>
      <c r="O24" s="42">
        <f>2*C24/100</f>
        <v>0.4</v>
      </c>
      <c r="P24" s="42">
        <f t="shared" si="1"/>
        <v>4.0997499999999999E-2</v>
      </c>
      <c r="Q24" s="42">
        <f t="shared" si="1"/>
        <v>4.6000000000000006E-2</v>
      </c>
      <c r="R24" s="233"/>
      <c r="S24" s="233"/>
    </row>
    <row r="25" spans="1:19" s="37" customFormat="1" x14ac:dyDescent="0.2">
      <c r="A25" s="49"/>
      <c r="B25" s="132" t="s">
        <v>4</v>
      </c>
      <c r="C25" s="120"/>
      <c r="D25" s="168">
        <f t="shared" ref="D25:Q25" si="2">SUM(D17:D24)</f>
        <v>29.584000000000003</v>
      </c>
      <c r="E25" s="168">
        <f t="shared" si="2"/>
        <v>21.297000000000001</v>
      </c>
      <c r="F25" s="168">
        <f t="shared" si="2"/>
        <v>133.364</v>
      </c>
      <c r="G25" s="168">
        <f t="shared" si="2"/>
        <v>839.33199999999999</v>
      </c>
      <c r="H25" s="168">
        <f t="shared" si="2"/>
        <v>0.93900000000000006</v>
      </c>
      <c r="I25" s="168">
        <f t="shared" si="2"/>
        <v>32.72</v>
      </c>
      <c r="J25" s="168">
        <f t="shared" si="2"/>
        <v>0.12571600000000002</v>
      </c>
      <c r="K25" s="168">
        <f t="shared" si="2"/>
        <v>2.3459999999999996</v>
      </c>
      <c r="L25" s="167">
        <f t="shared" si="2"/>
        <v>195.25200000000001</v>
      </c>
      <c r="M25" s="167">
        <f t="shared" si="2"/>
        <v>446.63499999999999</v>
      </c>
      <c r="N25" s="167">
        <f t="shared" si="2"/>
        <v>117.83750000000001</v>
      </c>
      <c r="O25" s="168">
        <f t="shared" si="2"/>
        <v>12.056000000000001</v>
      </c>
      <c r="P25" s="168">
        <f t="shared" si="2"/>
        <v>0.60899750000000008</v>
      </c>
      <c r="Q25" s="168">
        <f t="shared" si="2"/>
        <v>16.565999999999999</v>
      </c>
      <c r="R25" s="233"/>
      <c r="S25" s="233"/>
    </row>
    <row r="26" spans="1:19" s="37" customFormat="1" x14ac:dyDescent="0.2">
      <c r="A26" s="299" t="s">
        <v>35</v>
      </c>
      <c r="B26" s="299"/>
      <c r="C26" s="299"/>
      <c r="D26" s="299"/>
      <c r="E26" s="299"/>
      <c r="F26" s="299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</row>
    <row r="27" spans="1:19" s="63" customFormat="1" ht="31.5" x14ac:dyDescent="0.2">
      <c r="A27" s="49">
        <v>1</v>
      </c>
      <c r="B27" s="47" t="s">
        <v>143</v>
      </c>
      <c r="C27" s="41">
        <v>50</v>
      </c>
      <c r="D27" s="60">
        <f>8*C27/100</f>
        <v>4</v>
      </c>
      <c r="E27" s="60">
        <f>5.5*C27/100</f>
        <v>2.75</v>
      </c>
      <c r="F27" s="60">
        <f>54.6*C27/100</f>
        <v>27.3</v>
      </c>
      <c r="G27" s="60">
        <f>299.9*C27/100</f>
        <v>149.94999999999999</v>
      </c>
      <c r="H27" s="42">
        <f>0.09*C27/100</f>
        <v>4.4999999999999998E-2</v>
      </c>
      <c r="I27" s="42">
        <f>0.62*C27/100</f>
        <v>0.31</v>
      </c>
      <c r="J27" s="42">
        <f>0.01*C27/100</f>
        <v>5.0000000000000001E-3</v>
      </c>
      <c r="K27" s="42">
        <f>2.49*C27/100</f>
        <v>1.2450000000000001</v>
      </c>
      <c r="L27" s="48">
        <f>11.38*C27/100</f>
        <v>5.69</v>
      </c>
      <c r="M27" s="48">
        <f>37.2*C27/100</f>
        <v>18.600000000000001</v>
      </c>
      <c r="N27" s="48">
        <f>9.87*C27/100</f>
        <v>4.9349999999999996</v>
      </c>
      <c r="O27" s="42">
        <f>0.62*C27/100</f>
        <v>0.31</v>
      </c>
      <c r="P27" s="49">
        <f>0.03*C27/100</f>
        <v>1.4999999999999999E-2</v>
      </c>
      <c r="Q27" s="49">
        <f>6.56*C27/100</f>
        <v>3.28</v>
      </c>
      <c r="R27" s="231" t="s">
        <v>253</v>
      </c>
      <c r="S27" s="233">
        <v>190303</v>
      </c>
    </row>
    <row r="28" spans="1:19" s="37" customFormat="1" x14ac:dyDescent="0.2">
      <c r="A28" s="49">
        <v>2</v>
      </c>
      <c r="B28" s="47" t="s">
        <v>145</v>
      </c>
      <c r="C28" s="41">
        <v>200</v>
      </c>
      <c r="D28" s="94">
        <f>2.8*C28/100</f>
        <v>5.6</v>
      </c>
      <c r="E28" s="94">
        <f>2.9*C28/100</f>
        <v>5.8</v>
      </c>
      <c r="F28" s="94">
        <f>10.5*C28/100</f>
        <v>21</v>
      </c>
      <c r="G28" s="94">
        <f>79.3*C28/100</f>
        <v>158.6</v>
      </c>
      <c r="H28" s="42">
        <f>0.04*C28/100</f>
        <v>0.08</v>
      </c>
      <c r="I28" s="42">
        <f>0.6*C28/100</f>
        <v>1.2</v>
      </c>
      <c r="J28" s="42">
        <f>0.03*C28/100</f>
        <v>0.06</v>
      </c>
      <c r="K28" s="42">
        <f>0*C28/100</f>
        <v>0</v>
      </c>
      <c r="L28" s="48">
        <f>122*C28/100</f>
        <v>244</v>
      </c>
      <c r="M28" s="48">
        <f>96*C28/100</f>
        <v>192</v>
      </c>
      <c r="N28" s="48">
        <f>15*C28/100</f>
        <v>30</v>
      </c>
      <c r="O28" s="42">
        <f>0.09*C28/100</f>
        <v>0.18</v>
      </c>
      <c r="P28" s="49">
        <v>0.2</v>
      </c>
      <c r="Q28" s="49">
        <v>9</v>
      </c>
      <c r="R28" s="233"/>
      <c r="S28" s="233"/>
    </row>
    <row r="29" spans="1:19" s="37" customFormat="1" x14ac:dyDescent="0.2">
      <c r="A29" s="49"/>
      <c r="B29" s="151" t="s">
        <v>4</v>
      </c>
      <c r="C29" s="109"/>
      <c r="D29" s="169">
        <f t="shared" ref="D29:Q29" si="3">SUM(D27:D28)</f>
        <v>9.6</v>
      </c>
      <c r="E29" s="169">
        <f t="shared" si="3"/>
        <v>8.5500000000000007</v>
      </c>
      <c r="F29" s="169">
        <f t="shared" si="3"/>
        <v>48.3</v>
      </c>
      <c r="G29" s="169">
        <f t="shared" si="3"/>
        <v>308.54999999999995</v>
      </c>
      <c r="H29" s="169">
        <f t="shared" si="3"/>
        <v>0.125</v>
      </c>
      <c r="I29" s="169">
        <f t="shared" si="3"/>
        <v>1.51</v>
      </c>
      <c r="J29" s="169">
        <f t="shared" si="3"/>
        <v>6.5000000000000002E-2</v>
      </c>
      <c r="K29" s="169">
        <f t="shared" si="3"/>
        <v>1.2450000000000001</v>
      </c>
      <c r="L29" s="152">
        <f t="shared" si="3"/>
        <v>249.69</v>
      </c>
      <c r="M29" s="152">
        <f t="shared" si="3"/>
        <v>210.6</v>
      </c>
      <c r="N29" s="152">
        <f t="shared" si="3"/>
        <v>34.935000000000002</v>
      </c>
      <c r="O29" s="169">
        <f t="shared" si="3"/>
        <v>0.49</v>
      </c>
      <c r="P29" s="169">
        <f t="shared" si="3"/>
        <v>0.21500000000000002</v>
      </c>
      <c r="Q29" s="169">
        <f t="shared" si="3"/>
        <v>12.28</v>
      </c>
      <c r="R29" s="233"/>
      <c r="S29" s="233"/>
    </row>
    <row r="30" spans="1:19" s="37" customFormat="1" x14ac:dyDescent="0.2">
      <c r="A30" s="49"/>
      <c r="B30" s="132" t="s">
        <v>7</v>
      </c>
      <c r="C30" s="120"/>
      <c r="D30" s="168">
        <f t="shared" ref="D30:Q30" si="4">D15+D25+D29</f>
        <v>64.498999999999995</v>
      </c>
      <c r="E30" s="168">
        <f t="shared" si="4"/>
        <v>50.677000000000007</v>
      </c>
      <c r="F30" s="168">
        <f t="shared" si="4"/>
        <v>260.529</v>
      </c>
      <c r="G30" s="168">
        <f t="shared" si="4"/>
        <v>1752.8419999999999</v>
      </c>
      <c r="H30" s="168">
        <f t="shared" si="4"/>
        <v>1.6870000000000003</v>
      </c>
      <c r="I30" s="168">
        <f t="shared" si="4"/>
        <v>61.29</v>
      </c>
      <c r="J30" s="168">
        <f t="shared" si="4"/>
        <v>0.26671600000000006</v>
      </c>
      <c r="K30" s="168">
        <f t="shared" si="4"/>
        <v>4.2309999999999999</v>
      </c>
      <c r="L30" s="167">
        <f t="shared" si="4"/>
        <v>752.86200000000008</v>
      </c>
      <c r="M30" s="167">
        <f t="shared" si="4"/>
        <v>905.46500000000003</v>
      </c>
      <c r="N30" s="167">
        <f t="shared" si="4"/>
        <v>212.86250000000001</v>
      </c>
      <c r="O30" s="168">
        <f t="shared" si="4"/>
        <v>14.756</v>
      </c>
      <c r="P30" s="168">
        <f t="shared" si="4"/>
        <v>0.97399750000000007</v>
      </c>
      <c r="Q30" s="168">
        <f t="shared" si="4"/>
        <v>45.926000000000002</v>
      </c>
      <c r="R30" s="233"/>
      <c r="S30" s="233"/>
    </row>
    <row r="31" spans="1:19" s="37" customFormat="1" x14ac:dyDescent="0.2">
      <c r="A31" s="299" t="s">
        <v>42</v>
      </c>
      <c r="B31" s="299"/>
      <c r="C31" s="299"/>
      <c r="D31" s="299"/>
      <c r="E31" s="299"/>
      <c r="F31" s="299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</row>
    <row r="32" spans="1:19" s="37" customFormat="1" x14ac:dyDescent="0.2">
      <c r="A32" s="299" t="s">
        <v>3</v>
      </c>
      <c r="B32" s="299"/>
      <c r="C32" s="299"/>
      <c r="D32" s="299"/>
      <c r="E32" s="299"/>
      <c r="F32" s="299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</row>
    <row r="33" spans="1:19" s="63" customFormat="1" x14ac:dyDescent="0.2">
      <c r="A33" s="49">
        <v>1</v>
      </c>
      <c r="B33" s="47" t="s">
        <v>14</v>
      </c>
      <c r="C33" s="41">
        <v>150</v>
      </c>
      <c r="D33" s="176">
        <f>14.2*C33/100</f>
        <v>21.3</v>
      </c>
      <c r="E33" s="176">
        <f>9.6*C33/100</f>
        <v>14.4</v>
      </c>
      <c r="F33" s="176">
        <f>14.4*C33/100</f>
        <v>21.6</v>
      </c>
      <c r="G33" s="176">
        <f>200.8*C33/100</f>
        <v>301.2</v>
      </c>
      <c r="H33" s="42">
        <f>0.06*C33/100</f>
        <v>0.09</v>
      </c>
      <c r="I33" s="42">
        <f>0.22*C33/100</f>
        <v>0.33</v>
      </c>
      <c r="J33" s="42">
        <f>0.07*C33/100</f>
        <v>0.10500000000000002</v>
      </c>
      <c r="K33" s="42">
        <f>0.44*C33/100</f>
        <v>0.66</v>
      </c>
      <c r="L33" s="48">
        <f>140.96*C33/100</f>
        <v>211.44</v>
      </c>
      <c r="M33" s="48">
        <f>205.55*C33/100</f>
        <v>308.32499999999999</v>
      </c>
      <c r="N33" s="48">
        <f>20.84*C33/100</f>
        <v>31.26</v>
      </c>
      <c r="O33" s="42">
        <f>0.66*C33/100</f>
        <v>0.99</v>
      </c>
      <c r="P33" s="49">
        <f>0.25*C33/100</f>
        <v>0.375</v>
      </c>
      <c r="Q33" s="49">
        <f>1.61*C33/100</f>
        <v>2.4150000000000005</v>
      </c>
      <c r="R33" s="233">
        <v>120313</v>
      </c>
      <c r="S33" s="233">
        <v>120314</v>
      </c>
    </row>
    <row r="34" spans="1:19" s="64" customFormat="1" ht="19.5" customHeight="1" x14ac:dyDescent="0.25">
      <c r="A34" s="49">
        <v>2</v>
      </c>
      <c r="B34" s="47" t="s">
        <v>191</v>
      </c>
      <c r="C34" s="41">
        <v>20</v>
      </c>
      <c r="D34" s="116">
        <f>2*C34/100</f>
        <v>0.4</v>
      </c>
      <c r="E34" s="116">
        <f>5.2*C34/100</f>
        <v>1.04</v>
      </c>
      <c r="F34" s="116">
        <f>6.9*C34/100</f>
        <v>1.38</v>
      </c>
      <c r="G34" s="116">
        <f>84*C34/100</f>
        <v>16.8</v>
      </c>
      <c r="H34" s="42">
        <f>0.05*C34/100</f>
        <v>0.01</v>
      </c>
      <c r="I34" s="42">
        <f>0.36*C34/100</f>
        <v>7.1999999999999995E-2</v>
      </c>
      <c r="J34" s="42">
        <f>0.07*C34/100</f>
        <v>1.4000000000000002E-2</v>
      </c>
      <c r="K34" s="42">
        <f>1.52*C34/100</f>
        <v>0.30399999999999999</v>
      </c>
      <c r="L34" s="48">
        <f>126.98*C34/100</f>
        <v>25.396000000000001</v>
      </c>
      <c r="M34" s="48">
        <f>181.58*C34/100</f>
        <v>36.316000000000003</v>
      </c>
      <c r="N34" s="48">
        <f>19.59*C34/100</f>
        <v>3.9180000000000001</v>
      </c>
      <c r="O34" s="42">
        <f>0.6*C34/100</f>
        <v>0.12</v>
      </c>
      <c r="P34" s="49">
        <v>0.25</v>
      </c>
      <c r="Q34" s="49">
        <v>0.48</v>
      </c>
      <c r="R34" s="46"/>
      <c r="S34" s="232">
        <v>140202</v>
      </c>
    </row>
    <row r="35" spans="1:19" s="63" customFormat="1" x14ac:dyDescent="0.2">
      <c r="A35" s="49">
        <v>3</v>
      </c>
      <c r="B35" s="47" t="s">
        <v>233</v>
      </c>
      <c r="C35" s="41">
        <v>200</v>
      </c>
      <c r="D35" s="166">
        <f>0*C35/100</f>
        <v>0</v>
      </c>
      <c r="E35" s="166">
        <f>0*C35/100</f>
        <v>0</v>
      </c>
      <c r="F35" s="166">
        <f>0*C35/100</f>
        <v>0</v>
      </c>
      <c r="G35" s="166">
        <f>17*C35/100</f>
        <v>34</v>
      </c>
      <c r="H35" s="42">
        <v>0</v>
      </c>
      <c r="I35" s="42">
        <v>0</v>
      </c>
      <c r="J35" s="42">
        <v>0</v>
      </c>
      <c r="K35" s="42">
        <v>0</v>
      </c>
      <c r="L35" s="48">
        <v>4.8600000000000003</v>
      </c>
      <c r="M35" s="48">
        <v>0</v>
      </c>
      <c r="N35" s="48">
        <v>1.08</v>
      </c>
      <c r="O35" s="42">
        <v>0</v>
      </c>
      <c r="P35" s="49">
        <v>0</v>
      </c>
      <c r="Q35" s="49">
        <v>0</v>
      </c>
      <c r="R35" s="233">
        <v>160107</v>
      </c>
      <c r="S35" s="233"/>
    </row>
    <row r="36" spans="1:19" s="63" customFormat="1" x14ac:dyDescent="0.3">
      <c r="A36" s="49">
        <v>4</v>
      </c>
      <c r="B36" s="47" t="s">
        <v>140</v>
      </c>
      <c r="C36" s="41">
        <v>10</v>
      </c>
      <c r="D36" s="166">
        <f>0*C36/100</f>
        <v>0</v>
      </c>
      <c r="E36" s="166">
        <f>0*C36/100</f>
        <v>0</v>
      </c>
      <c r="F36" s="166">
        <f>99.8*C36/100</f>
        <v>9.98</v>
      </c>
      <c r="G36" s="166">
        <f>374.3*C36/100</f>
        <v>37.43</v>
      </c>
      <c r="H36" s="42">
        <v>0</v>
      </c>
      <c r="I36" s="42">
        <v>0</v>
      </c>
      <c r="J36" s="42">
        <v>0</v>
      </c>
      <c r="K36" s="42">
        <v>0</v>
      </c>
      <c r="L36" s="42">
        <v>0.2</v>
      </c>
      <c r="M36" s="42">
        <v>0</v>
      </c>
      <c r="N36" s="42">
        <v>0</v>
      </c>
      <c r="O36" s="42">
        <v>0.03</v>
      </c>
      <c r="P36" s="55">
        <v>0</v>
      </c>
      <c r="Q36" s="55">
        <v>0</v>
      </c>
      <c r="R36" s="233"/>
      <c r="S36" s="233"/>
    </row>
    <row r="37" spans="1:19" s="63" customFormat="1" x14ac:dyDescent="0.2">
      <c r="A37" s="49">
        <v>5</v>
      </c>
      <c r="B37" s="47" t="s">
        <v>160</v>
      </c>
      <c r="C37" s="41">
        <v>20</v>
      </c>
      <c r="D37" s="42">
        <f>7.76*C37/100</f>
        <v>1.5519999999999998</v>
      </c>
      <c r="E37" s="42">
        <f>2.65*C37/100</f>
        <v>0.53</v>
      </c>
      <c r="F37" s="42">
        <f>53.25*C37/100</f>
        <v>10.65</v>
      </c>
      <c r="G37" s="42">
        <f>273*C37/100</f>
        <v>54.6</v>
      </c>
      <c r="H37" s="42">
        <f>0.34*C37/100</f>
        <v>6.8000000000000005E-2</v>
      </c>
      <c r="I37" s="42">
        <f>0*C37/100</f>
        <v>0</v>
      </c>
      <c r="J37" s="42">
        <v>0</v>
      </c>
      <c r="K37" s="42">
        <f>1.5*C37/100</f>
        <v>0.3</v>
      </c>
      <c r="L37" s="48">
        <f>148.1*C37/100</f>
        <v>29.62</v>
      </c>
      <c r="M37" s="48">
        <f>0*C37/100</f>
        <v>0</v>
      </c>
      <c r="N37" s="48">
        <f>16*C37/100</f>
        <v>3.2</v>
      </c>
      <c r="O37" s="42">
        <f>2.4*C37/100</f>
        <v>0.48</v>
      </c>
      <c r="P37" s="56">
        <f>0.2*C37/100</f>
        <v>0.04</v>
      </c>
      <c r="Q37" s="56">
        <f>1.5*C37/100</f>
        <v>0.3</v>
      </c>
      <c r="R37" s="233">
        <v>200102</v>
      </c>
      <c r="S37" s="233"/>
    </row>
    <row r="38" spans="1:19" s="63" customFormat="1" ht="37.5" x14ac:dyDescent="0.2">
      <c r="A38" s="49">
        <v>6</v>
      </c>
      <c r="B38" s="47" t="s">
        <v>164</v>
      </c>
      <c r="C38" s="41">
        <v>10</v>
      </c>
      <c r="D38" s="42">
        <f>0.5*C38/100</f>
        <v>0.05</v>
      </c>
      <c r="E38" s="42">
        <f>82.5*C38/100</f>
        <v>8.25</v>
      </c>
      <c r="F38" s="42">
        <f>0.8*C38/100</f>
        <v>0.08</v>
      </c>
      <c r="G38" s="42">
        <f>748*C38/100</f>
        <v>74.8</v>
      </c>
      <c r="H38" s="42">
        <v>0</v>
      </c>
      <c r="I38" s="42">
        <v>0</v>
      </c>
      <c r="J38" s="42">
        <f>0.4*C38/100</f>
        <v>0.04</v>
      </c>
      <c r="K38" s="42">
        <f>1*C38/100</f>
        <v>0.1</v>
      </c>
      <c r="L38" s="48">
        <f>12*C38/100</f>
        <v>1.2</v>
      </c>
      <c r="M38" s="48">
        <f>19*C38/100</f>
        <v>1.9</v>
      </c>
      <c r="N38" s="48">
        <f>0*C38/100</f>
        <v>0</v>
      </c>
      <c r="O38" s="42">
        <f>0.2*C38/100</f>
        <v>0.02</v>
      </c>
      <c r="P38" s="56">
        <f>0.1*C38/100</f>
        <v>0.01</v>
      </c>
      <c r="Q38" s="49">
        <v>0</v>
      </c>
      <c r="R38" s="233"/>
      <c r="S38" s="233"/>
    </row>
    <row r="39" spans="1:19" s="46" customFormat="1" ht="18.75" customHeight="1" x14ac:dyDescent="0.3">
      <c r="A39" s="49">
        <v>7</v>
      </c>
      <c r="B39" s="47" t="s">
        <v>232</v>
      </c>
      <c r="C39" s="41" t="s">
        <v>274</v>
      </c>
      <c r="D39" s="42">
        <v>0.56000000000000005</v>
      </c>
      <c r="E39" s="42">
        <v>0.56000000000000005</v>
      </c>
      <c r="F39" s="42">
        <v>13.72</v>
      </c>
      <c r="G39" s="42">
        <v>65.8</v>
      </c>
      <c r="H39" s="42">
        <v>4.2000000000000003E-2</v>
      </c>
      <c r="I39" s="42">
        <v>14</v>
      </c>
      <c r="J39" s="42">
        <v>0</v>
      </c>
      <c r="K39" s="42">
        <v>0.28000000000000003</v>
      </c>
      <c r="L39" s="42">
        <v>22.4</v>
      </c>
      <c r="M39" s="42">
        <v>15.4</v>
      </c>
      <c r="N39" s="42">
        <v>12.6</v>
      </c>
      <c r="O39" s="42">
        <v>2.8000000000000004E-3</v>
      </c>
      <c r="P39" s="55">
        <v>2.8000000000000004E-2</v>
      </c>
      <c r="Q39" s="49">
        <f>2*140/100</f>
        <v>2.8</v>
      </c>
      <c r="R39" s="235">
        <v>210110</v>
      </c>
      <c r="S39" s="235"/>
    </row>
    <row r="40" spans="1:19" s="37" customFormat="1" x14ac:dyDescent="0.2">
      <c r="A40" s="49"/>
      <c r="B40" s="132" t="s">
        <v>4</v>
      </c>
      <c r="C40" s="120"/>
      <c r="D40" s="169">
        <f t="shared" ref="D40:Q40" si="5">SUM(D33:D39)</f>
        <v>23.861999999999998</v>
      </c>
      <c r="E40" s="169">
        <f t="shared" si="5"/>
        <v>24.779999999999998</v>
      </c>
      <c r="F40" s="169">
        <f t="shared" si="5"/>
        <v>57.41</v>
      </c>
      <c r="G40" s="169">
        <f t="shared" si="5"/>
        <v>584.63</v>
      </c>
      <c r="H40" s="169">
        <f t="shared" si="5"/>
        <v>0.21</v>
      </c>
      <c r="I40" s="169">
        <f t="shared" si="5"/>
        <v>14.401999999999999</v>
      </c>
      <c r="J40" s="169">
        <f t="shared" si="5"/>
        <v>0.15900000000000003</v>
      </c>
      <c r="K40" s="169">
        <f t="shared" si="5"/>
        <v>1.6440000000000001</v>
      </c>
      <c r="L40" s="152">
        <f t="shared" si="5"/>
        <v>295.11599999999999</v>
      </c>
      <c r="M40" s="152">
        <f t="shared" si="5"/>
        <v>361.94099999999992</v>
      </c>
      <c r="N40" s="152">
        <f t="shared" si="5"/>
        <v>52.058000000000007</v>
      </c>
      <c r="O40" s="169">
        <f t="shared" si="5"/>
        <v>1.6427999999999998</v>
      </c>
      <c r="P40" s="125">
        <f t="shared" si="5"/>
        <v>0.70300000000000007</v>
      </c>
      <c r="Q40" s="125">
        <f t="shared" si="5"/>
        <v>5.9950000000000001</v>
      </c>
      <c r="R40" s="233"/>
      <c r="S40" s="233"/>
    </row>
    <row r="41" spans="1:19" s="37" customFormat="1" x14ac:dyDescent="0.2">
      <c r="A41" s="299" t="s">
        <v>5</v>
      </c>
      <c r="B41" s="299"/>
      <c r="C41" s="299"/>
      <c r="D41" s="299"/>
      <c r="E41" s="299"/>
      <c r="F41" s="299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</row>
    <row r="42" spans="1:19" s="64" customFormat="1" ht="37.5" x14ac:dyDescent="0.3">
      <c r="A42" s="49">
        <v>1</v>
      </c>
      <c r="B42" s="47" t="s">
        <v>137</v>
      </c>
      <c r="C42" s="41">
        <v>60</v>
      </c>
      <c r="D42" s="42">
        <f>1.77*C42/100</f>
        <v>1.0620000000000001</v>
      </c>
      <c r="E42" s="42">
        <f>5.2*C42/100</f>
        <v>3.12</v>
      </c>
      <c r="F42" s="42">
        <f>7.35*C42/100</f>
        <v>4.41</v>
      </c>
      <c r="G42" s="42">
        <f>86.98*C42/100</f>
        <v>52.188000000000002</v>
      </c>
      <c r="H42" s="42">
        <f>0.06*C42/100</f>
        <v>3.5999999999999997E-2</v>
      </c>
      <c r="I42" s="42">
        <f>9.15*C42/100</f>
        <v>5.49</v>
      </c>
      <c r="J42" s="42">
        <v>0</v>
      </c>
      <c r="K42" s="42">
        <f>0.08*C42/100</f>
        <v>4.8000000000000001E-2</v>
      </c>
      <c r="L42" s="42">
        <f>14.53*C42/100</f>
        <v>8.718</v>
      </c>
      <c r="M42" s="42">
        <f>38.56*C42/100</f>
        <v>23.136000000000003</v>
      </c>
      <c r="N42" s="42">
        <f>15.12*C42/100</f>
        <v>9.0719999999999992</v>
      </c>
      <c r="O42" s="42">
        <f>0.61*C42/100</f>
        <v>0.36599999999999999</v>
      </c>
      <c r="P42" s="55">
        <f>0.04*C42/100</f>
        <v>2.4E-2</v>
      </c>
      <c r="Q42" s="55">
        <v>2.76</v>
      </c>
      <c r="R42" s="236">
        <v>100510</v>
      </c>
      <c r="S42" s="235"/>
    </row>
    <row r="43" spans="1:19" s="63" customFormat="1" x14ac:dyDescent="0.2">
      <c r="A43" s="49">
        <v>2</v>
      </c>
      <c r="B43" s="47" t="s">
        <v>210</v>
      </c>
      <c r="C43" s="41">
        <v>250</v>
      </c>
      <c r="D43" s="42">
        <f>0.7*C43/100</f>
        <v>1.75</v>
      </c>
      <c r="E43" s="42">
        <f>1.5*C43/100</f>
        <v>3.75</v>
      </c>
      <c r="F43" s="42">
        <f>3.8*C43/100</f>
        <v>9.5</v>
      </c>
      <c r="G43" s="42">
        <f>31.5*C43/100</f>
        <v>78.75</v>
      </c>
      <c r="H43" s="42">
        <f>C43*0.01/100</f>
        <v>2.5000000000000001E-2</v>
      </c>
      <c r="I43" s="42">
        <f>1.23*C43/100</f>
        <v>3.0750000000000002</v>
      </c>
      <c r="J43" s="42">
        <f>0.01*C43/100</f>
        <v>2.5000000000000001E-2</v>
      </c>
      <c r="K43" s="42">
        <f>0.05*C43/100</f>
        <v>0.125</v>
      </c>
      <c r="L43" s="48">
        <f>C43*6.7/100</f>
        <v>16.75</v>
      </c>
      <c r="M43" s="48">
        <f>C43*33.69/100</f>
        <v>84.224999999999994</v>
      </c>
      <c r="N43" s="48">
        <f>C43*6.12/100</f>
        <v>15.3</v>
      </c>
      <c r="O43" s="42">
        <f>C43*0.81/100</f>
        <v>2.0249999999999999</v>
      </c>
      <c r="P43" s="49">
        <f>0.02*C43/100</f>
        <v>0.05</v>
      </c>
      <c r="Q43" s="49">
        <v>4</v>
      </c>
      <c r="R43" s="233">
        <v>110320</v>
      </c>
      <c r="S43" s="233">
        <v>110321</v>
      </c>
    </row>
    <row r="44" spans="1:19" s="63" customFormat="1" ht="37.5" x14ac:dyDescent="0.2">
      <c r="A44" s="49">
        <v>3</v>
      </c>
      <c r="B44" s="47" t="s">
        <v>127</v>
      </c>
      <c r="C44" s="41">
        <v>150</v>
      </c>
      <c r="D44" s="42">
        <f>9.62*C44/100</f>
        <v>14.429999999999998</v>
      </c>
      <c r="E44" s="42">
        <f>17.29*C44/100</f>
        <v>25.934999999999999</v>
      </c>
      <c r="F44" s="42">
        <f>22.43*C44/100</f>
        <v>33.645000000000003</v>
      </c>
      <c r="G44" s="42">
        <f>280.58*C44/100</f>
        <v>420.87</v>
      </c>
      <c r="H44" s="42">
        <f>0.12*C44/100</f>
        <v>0.18</v>
      </c>
      <c r="I44" s="42">
        <v>0</v>
      </c>
      <c r="J44" s="42">
        <f>0.01*C44/100</f>
        <v>1.4999999999999999E-2</v>
      </c>
      <c r="K44" s="42">
        <f>0.04*C44/100</f>
        <v>0.06</v>
      </c>
      <c r="L44" s="48">
        <f>28.97*C44/100</f>
        <v>43.454999999999998</v>
      </c>
      <c r="M44" s="48">
        <f>79.86*C44/100</f>
        <v>119.79</v>
      </c>
      <c r="N44" s="48">
        <f>16.3*C44/100</f>
        <v>24.45</v>
      </c>
      <c r="O44" s="42">
        <f>1.05*C44/100</f>
        <v>1.575</v>
      </c>
      <c r="P44" s="49">
        <f>0.06*C44/100</f>
        <v>0.09</v>
      </c>
      <c r="Q44" s="49">
        <v>0</v>
      </c>
      <c r="R44" s="233">
        <v>120529</v>
      </c>
      <c r="S44" s="233"/>
    </row>
    <row r="45" spans="1:19" s="64" customFormat="1" ht="30" customHeight="1" x14ac:dyDescent="0.3">
      <c r="A45" s="49">
        <v>4</v>
      </c>
      <c r="B45" s="47" t="s">
        <v>162</v>
      </c>
      <c r="C45" s="41">
        <v>200</v>
      </c>
      <c r="D45" s="42">
        <f>0.1*C45/100</f>
        <v>0.2</v>
      </c>
      <c r="E45" s="42">
        <f>0.04*C45/100</f>
        <v>0.08</v>
      </c>
      <c r="F45" s="42">
        <f>9.15*C45/100</f>
        <v>18.3</v>
      </c>
      <c r="G45" s="42">
        <f>28.46*C45/100</f>
        <v>56.92</v>
      </c>
      <c r="H45" s="42">
        <v>0</v>
      </c>
      <c r="I45" s="42">
        <f>20*C45/100</f>
        <v>40</v>
      </c>
      <c r="J45" s="42">
        <v>0</v>
      </c>
      <c r="K45" s="42">
        <f>0.07*C45/100</f>
        <v>0.14000000000000001</v>
      </c>
      <c r="L45" s="42">
        <f>9.75*C45/100</f>
        <v>19.5</v>
      </c>
      <c r="M45" s="42">
        <f>6.76*C45/100</f>
        <v>13.52</v>
      </c>
      <c r="N45" s="42">
        <f>4.05*C45/100</f>
        <v>8.1</v>
      </c>
      <c r="O45" s="42">
        <f>0.14*C45/100</f>
        <v>0.28000000000000003</v>
      </c>
      <c r="P45" s="55">
        <v>0</v>
      </c>
      <c r="Q45" s="55">
        <v>4.8899999999999997</v>
      </c>
      <c r="R45" s="233">
        <v>160203</v>
      </c>
      <c r="S45" s="235"/>
    </row>
    <row r="46" spans="1:19" s="63" customFormat="1" x14ac:dyDescent="0.2">
      <c r="A46" s="49">
        <v>5</v>
      </c>
      <c r="B46" s="47" t="s">
        <v>160</v>
      </c>
      <c r="C46" s="41">
        <v>40</v>
      </c>
      <c r="D46" s="42">
        <f>7.76*C46/100</f>
        <v>3.1039999999999996</v>
      </c>
      <c r="E46" s="42">
        <f>2.65*C46/100</f>
        <v>1.06</v>
      </c>
      <c r="F46" s="42">
        <f>53.25*C46/100</f>
        <v>21.3</v>
      </c>
      <c r="G46" s="42">
        <f>273*C46/100</f>
        <v>109.2</v>
      </c>
      <c r="H46" s="42">
        <f>0.34*C46/100</f>
        <v>0.13600000000000001</v>
      </c>
      <c r="I46" s="42">
        <f>0*C46/100</f>
        <v>0</v>
      </c>
      <c r="J46" s="42">
        <v>0</v>
      </c>
      <c r="K46" s="42">
        <f>1.5*C46/100</f>
        <v>0.6</v>
      </c>
      <c r="L46" s="48">
        <f>148.1*C46/100</f>
        <v>59.24</v>
      </c>
      <c r="M46" s="48">
        <f>0*C46/100</f>
        <v>0</v>
      </c>
      <c r="N46" s="48">
        <f>16*C46/100</f>
        <v>6.4</v>
      </c>
      <c r="O46" s="42">
        <f>2.4*C46/100</f>
        <v>0.96</v>
      </c>
      <c r="P46" s="56">
        <f>0.2*C46/100</f>
        <v>0.08</v>
      </c>
      <c r="Q46" s="56">
        <f>1.5*C46/100</f>
        <v>0.6</v>
      </c>
      <c r="R46" s="233">
        <v>200102</v>
      </c>
      <c r="S46" s="233"/>
    </row>
    <row r="47" spans="1:19" s="63" customFormat="1" x14ac:dyDescent="0.2">
      <c r="A47" s="49">
        <v>6</v>
      </c>
      <c r="B47" s="47" t="s">
        <v>159</v>
      </c>
      <c r="C47" s="41">
        <v>20</v>
      </c>
      <c r="D47" s="42">
        <f>5.86*C47/100</f>
        <v>1.1719999999999999</v>
      </c>
      <c r="E47" s="42">
        <f>0.94*C47/100</f>
        <v>0.18799999999999997</v>
      </c>
      <c r="F47" s="42">
        <f>44.4*C47/100</f>
        <v>8.8800000000000008</v>
      </c>
      <c r="G47" s="42">
        <f>189*C47/100</f>
        <v>37.799999999999997</v>
      </c>
      <c r="H47" s="42">
        <f>0.4*C47/100</f>
        <v>0.08</v>
      </c>
      <c r="I47" s="42">
        <f>0.03*C47/100</f>
        <v>6.0000000000000001E-3</v>
      </c>
      <c r="J47" s="42">
        <v>0</v>
      </c>
      <c r="K47" s="42">
        <f>1.7*C47/100</f>
        <v>0.34</v>
      </c>
      <c r="L47" s="48">
        <f>25.4*C47/100</f>
        <v>5.08</v>
      </c>
      <c r="M47" s="48">
        <f>105.53*C47/100</f>
        <v>21.105999999999998</v>
      </c>
      <c r="N47" s="48">
        <f>36.5*C47/100</f>
        <v>7.3</v>
      </c>
      <c r="O47" s="42">
        <f>2.45*C47/100</f>
        <v>0.49</v>
      </c>
      <c r="P47" s="56">
        <f>0.2*C47/100</f>
        <v>0.04</v>
      </c>
      <c r="Q47" s="56">
        <f>10*C47/100</f>
        <v>2</v>
      </c>
      <c r="R47" s="233">
        <v>200103</v>
      </c>
      <c r="S47" s="233">
        <v>190101</v>
      </c>
    </row>
    <row r="48" spans="1:19" s="37" customFormat="1" x14ac:dyDescent="0.2">
      <c r="A48" s="49"/>
      <c r="B48" s="132" t="s">
        <v>4</v>
      </c>
      <c r="C48" s="120"/>
      <c r="D48" s="168">
        <f t="shared" ref="D48:Q48" si="6">SUM(D42:D47)</f>
        <v>21.717999999999996</v>
      </c>
      <c r="E48" s="168">
        <f t="shared" si="6"/>
        <v>34.133000000000003</v>
      </c>
      <c r="F48" s="168">
        <f t="shared" si="6"/>
        <v>96.034999999999997</v>
      </c>
      <c r="G48" s="168">
        <f t="shared" si="6"/>
        <v>755.72799999999995</v>
      </c>
      <c r="H48" s="168">
        <f t="shared" si="6"/>
        <v>0.45700000000000002</v>
      </c>
      <c r="I48" s="168">
        <f t="shared" si="6"/>
        <v>48.570999999999998</v>
      </c>
      <c r="J48" s="168">
        <f t="shared" si="6"/>
        <v>0.04</v>
      </c>
      <c r="K48" s="168">
        <f t="shared" si="6"/>
        <v>1.3129999999999999</v>
      </c>
      <c r="L48" s="167">
        <f t="shared" si="6"/>
        <v>152.74300000000002</v>
      </c>
      <c r="M48" s="167">
        <f t="shared" si="6"/>
        <v>261.77700000000004</v>
      </c>
      <c r="N48" s="167">
        <f t="shared" si="6"/>
        <v>70.622</v>
      </c>
      <c r="O48" s="168">
        <f t="shared" si="6"/>
        <v>5.6960000000000006</v>
      </c>
      <c r="P48" s="125">
        <f t="shared" si="6"/>
        <v>0.28399999999999997</v>
      </c>
      <c r="Q48" s="125">
        <f t="shared" si="6"/>
        <v>14.249999999999998</v>
      </c>
      <c r="R48" s="233"/>
      <c r="S48" s="233"/>
    </row>
    <row r="49" spans="1:19" s="37" customFormat="1" x14ac:dyDescent="0.2">
      <c r="A49" s="299" t="s">
        <v>35</v>
      </c>
      <c r="B49" s="299"/>
      <c r="C49" s="299"/>
      <c r="D49" s="299"/>
      <c r="E49" s="299"/>
      <c r="F49" s="299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</row>
    <row r="50" spans="1:19" s="63" customFormat="1" x14ac:dyDescent="0.2">
      <c r="A50" s="49">
        <v>1</v>
      </c>
      <c r="B50" s="47" t="s">
        <v>259</v>
      </c>
      <c r="C50" s="41">
        <v>50</v>
      </c>
      <c r="D50" s="94">
        <f>11.4*C50/100</f>
        <v>5.7</v>
      </c>
      <c r="E50" s="94">
        <f>6.2*C50/100</f>
        <v>3.1</v>
      </c>
      <c r="F50" s="94">
        <f>54.8*C50/100</f>
        <v>27.4</v>
      </c>
      <c r="G50" s="94">
        <f>321*C50/100</f>
        <v>160.5</v>
      </c>
      <c r="H50" s="42">
        <f>0.17*C50/100</f>
        <v>8.5000000000000006E-2</v>
      </c>
      <c r="I50" s="42">
        <f>3.2*C50/100</f>
        <v>1.6</v>
      </c>
      <c r="J50" s="42">
        <f>0.02*C50/100</f>
        <v>0.01</v>
      </c>
      <c r="K50" s="42">
        <f>1*C50/100</f>
        <v>0.5</v>
      </c>
      <c r="L50" s="48">
        <f>12.46*C50/100</f>
        <v>6.23</v>
      </c>
      <c r="M50" s="48">
        <f>55.81*C50/100</f>
        <v>27.905000000000001</v>
      </c>
      <c r="N50" s="48">
        <f>10.75*C50/100</f>
        <v>5.375</v>
      </c>
      <c r="O50" s="42">
        <f>0.82*C50/100</f>
        <v>0.41</v>
      </c>
      <c r="P50" s="49">
        <f>0.04*C50/100</f>
        <v>0.02</v>
      </c>
      <c r="Q50" s="49">
        <v>0.87</v>
      </c>
      <c r="R50" s="233">
        <v>190102</v>
      </c>
      <c r="S50" s="233">
        <v>190103</v>
      </c>
    </row>
    <row r="51" spans="1:19" s="66" customFormat="1" x14ac:dyDescent="0.2">
      <c r="A51" s="49">
        <v>2</v>
      </c>
      <c r="B51" s="47" t="s">
        <v>231</v>
      </c>
      <c r="C51" s="41">
        <v>200</v>
      </c>
      <c r="D51" s="60">
        <f>0.7*C51/100</f>
        <v>1.4</v>
      </c>
      <c r="E51" s="60">
        <v>0</v>
      </c>
      <c r="F51" s="60">
        <f>12*C51/100</f>
        <v>24</v>
      </c>
      <c r="G51" s="60">
        <f>48*C51/100</f>
        <v>96</v>
      </c>
      <c r="H51" s="42">
        <f>0.105*C51/100</f>
        <v>0.21</v>
      </c>
      <c r="I51" s="42">
        <f>2*C51/100</f>
        <v>4</v>
      </c>
      <c r="J51" s="42">
        <f>0.03*C51/100</f>
        <v>0.06</v>
      </c>
      <c r="K51" s="42">
        <f>0.35*C51/100</f>
        <v>0.7</v>
      </c>
      <c r="L51" s="48">
        <f>10.5*C51/100</f>
        <v>21</v>
      </c>
      <c r="M51" s="48">
        <f>8*C51/100</f>
        <v>16</v>
      </c>
      <c r="N51" s="48">
        <f>11.5*C51/100</f>
        <v>23</v>
      </c>
      <c r="O51" s="49">
        <f>0.35*C51/100</f>
        <v>0.7</v>
      </c>
      <c r="P51" s="49">
        <v>0</v>
      </c>
      <c r="Q51" s="49">
        <v>0.4</v>
      </c>
      <c r="R51" s="233"/>
      <c r="S51" s="233"/>
    </row>
    <row r="52" spans="1:19" s="37" customFormat="1" x14ac:dyDescent="0.2">
      <c r="A52" s="49"/>
      <c r="B52" s="132" t="s">
        <v>4</v>
      </c>
      <c r="C52" s="120"/>
      <c r="D52" s="169">
        <f t="shared" ref="D52:Q52" si="7">SUM(D50:D51)</f>
        <v>7.1</v>
      </c>
      <c r="E52" s="169">
        <f t="shared" si="7"/>
        <v>3.1</v>
      </c>
      <c r="F52" s="169">
        <f t="shared" si="7"/>
        <v>51.4</v>
      </c>
      <c r="G52" s="169">
        <f t="shared" si="7"/>
        <v>256.5</v>
      </c>
      <c r="H52" s="169">
        <f t="shared" si="7"/>
        <v>0.29499999999999998</v>
      </c>
      <c r="I52" s="169">
        <f t="shared" si="7"/>
        <v>5.6</v>
      </c>
      <c r="J52" s="169">
        <f t="shared" si="7"/>
        <v>6.9999999999999993E-2</v>
      </c>
      <c r="K52" s="169">
        <f t="shared" si="7"/>
        <v>1.2</v>
      </c>
      <c r="L52" s="152">
        <f t="shared" si="7"/>
        <v>27.23</v>
      </c>
      <c r="M52" s="152">
        <f t="shared" si="7"/>
        <v>43.905000000000001</v>
      </c>
      <c r="N52" s="152">
        <f t="shared" si="7"/>
        <v>28.375</v>
      </c>
      <c r="O52" s="169">
        <f t="shared" si="7"/>
        <v>1.1099999999999999</v>
      </c>
      <c r="P52" s="125">
        <f t="shared" si="7"/>
        <v>0.02</v>
      </c>
      <c r="Q52" s="125">
        <f t="shared" si="7"/>
        <v>1.27</v>
      </c>
      <c r="R52" s="233"/>
      <c r="S52" s="233"/>
    </row>
    <row r="53" spans="1:19" s="37" customFormat="1" x14ac:dyDescent="0.2">
      <c r="A53" s="49"/>
      <c r="B53" s="132" t="s">
        <v>7</v>
      </c>
      <c r="C53" s="120"/>
      <c r="D53" s="168">
        <f t="shared" ref="D53:Q53" si="8">D40+D48+D52</f>
        <v>52.68</v>
      </c>
      <c r="E53" s="168">
        <f t="shared" si="8"/>
        <v>62.012999999999998</v>
      </c>
      <c r="F53" s="168">
        <f t="shared" si="8"/>
        <v>204.845</v>
      </c>
      <c r="G53" s="168">
        <f t="shared" si="8"/>
        <v>1596.8579999999999</v>
      </c>
      <c r="H53" s="168">
        <f t="shared" si="8"/>
        <v>0.96199999999999997</v>
      </c>
      <c r="I53" s="168">
        <f t="shared" si="8"/>
        <v>68.572999999999993</v>
      </c>
      <c r="J53" s="168">
        <f t="shared" si="8"/>
        <v>0.26900000000000002</v>
      </c>
      <c r="K53" s="168">
        <f t="shared" si="8"/>
        <v>4.157</v>
      </c>
      <c r="L53" s="167">
        <f t="shared" si="8"/>
        <v>475.08900000000006</v>
      </c>
      <c r="M53" s="167">
        <f t="shared" si="8"/>
        <v>667.62299999999993</v>
      </c>
      <c r="N53" s="167">
        <f t="shared" si="8"/>
        <v>151.05500000000001</v>
      </c>
      <c r="O53" s="168">
        <f t="shared" si="8"/>
        <v>8.4488000000000003</v>
      </c>
      <c r="P53" s="168">
        <f t="shared" si="8"/>
        <v>1.0070000000000001</v>
      </c>
      <c r="Q53" s="168">
        <f t="shared" si="8"/>
        <v>21.514999999999997</v>
      </c>
      <c r="R53" s="233"/>
      <c r="S53" s="233"/>
    </row>
    <row r="54" spans="1:19" s="37" customFormat="1" ht="19.5" thickBot="1" x14ac:dyDescent="0.25">
      <c r="A54" s="300" t="s">
        <v>43</v>
      </c>
      <c r="B54" s="301"/>
      <c r="C54" s="301"/>
      <c r="D54" s="301"/>
      <c r="E54" s="301"/>
      <c r="F54" s="301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3"/>
    </row>
    <row r="55" spans="1:19" s="37" customFormat="1" x14ac:dyDescent="0.2">
      <c r="A55" s="304" t="s">
        <v>3</v>
      </c>
      <c r="B55" s="305"/>
      <c r="C55" s="305"/>
      <c r="D55" s="305"/>
      <c r="E55" s="305"/>
      <c r="F55" s="305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7"/>
    </row>
    <row r="56" spans="1:19" s="63" customFormat="1" ht="37.5" x14ac:dyDescent="0.2">
      <c r="A56" s="49">
        <v>1</v>
      </c>
      <c r="B56" s="47" t="s">
        <v>255</v>
      </c>
      <c r="C56" s="41">
        <v>200</v>
      </c>
      <c r="D56" s="42">
        <f>3.64*C56/100</f>
        <v>7.28</v>
      </c>
      <c r="E56" s="42">
        <f>3.38*C56/100</f>
        <v>6.76</v>
      </c>
      <c r="F56" s="42">
        <f>18.46*C56/100</f>
        <v>36.92</v>
      </c>
      <c r="G56" s="42">
        <f>112.8*C56/100</f>
        <v>225.6</v>
      </c>
      <c r="H56" s="42">
        <f>0.4*C56/100</f>
        <v>0.8</v>
      </c>
      <c r="I56" s="42">
        <f>8*C56/100</f>
        <v>16</v>
      </c>
      <c r="J56" s="42">
        <f>0*C56/100</f>
        <v>0</v>
      </c>
      <c r="K56" s="42">
        <f>2*C56/100</f>
        <v>4</v>
      </c>
      <c r="L56" s="48">
        <f>20*C56/100</f>
        <v>40</v>
      </c>
      <c r="M56" s="48">
        <f>32*C56/100</f>
        <v>64</v>
      </c>
      <c r="N56" s="48">
        <f>0*C56/100</f>
        <v>0</v>
      </c>
      <c r="O56" s="42">
        <f>2.24*C56/100</f>
        <v>4.4800000000000004</v>
      </c>
      <c r="P56" s="49">
        <f>0.3*C56/100</f>
        <v>0.6</v>
      </c>
      <c r="Q56" s="49">
        <f>4.5*C56/100</f>
        <v>9</v>
      </c>
      <c r="R56" s="233">
        <v>120215</v>
      </c>
      <c r="S56" s="233"/>
    </row>
    <row r="57" spans="1:19" s="63" customFormat="1" x14ac:dyDescent="0.2">
      <c r="A57" s="49">
        <v>2</v>
      </c>
      <c r="B57" s="47" t="s">
        <v>31</v>
      </c>
      <c r="C57" s="59">
        <v>200</v>
      </c>
      <c r="D57" s="60">
        <v>0</v>
      </c>
      <c r="E57" s="60">
        <v>0</v>
      </c>
      <c r="F57" s="60">
        <f>4.99*C57/100</f>
        <v>9.98</v>
      </c>
      <c r="G57" s="42">
        <f>19.95*C57/100</f>
        <v>39.9</v>
      </c>
      <c r="H57" s="42">
        <v>0</v>
      </c>
      <c r="I57" s="42">
        <v>0</v>
      </c>
      <c r="J57" s="42">
        <v>0</v>
      </c>
      <c r="K57" s="42">
        <v>0</v>
      </c>
      <c r="L57" s="48">
        <f>8.15*C57/100</f>
        <v>16.3</v>
      </c>
      <c r="M57" s="48">
        <f>0.02*C57/100</f>
        <v>0.04</v>
      </c>
      <c r="N57" s="48">
        <f>1.79*C57/100</f>
        <v>3.58</v>
      </c>
      <c r="O57" s="42">
        <f>0.02*C57/100</f>
        <v>0.04</v>
      </c>
      <c r="P57" s="49">
        <f>0.01*C57/100</f>
        <v>0.02</v>
      </c>
      <c r="Q57" s="49">
        <v>0.48</v>
      </c>
      <c r="R57" s="233">
        <v>160105</v>
      </c>
      <c r="S57" s="233"/>
    </row>
    <row r="58" spans="1:19" s="63" customFormat="1" x14ac:dyDescent="0.2">
      <c r="A58" s="49">
        <v>3</v>
      </c>
      <c r="B58" s="47" t="s">
        <v>170</v>
      </c>
      <c r="C58" s="41">
        <v>40</v>
      </c>
      <c r="D58" s="42">
        <f>12.7*C58/100</f>
        <v>5.08</v>
      </c>
      <c r="E58" s="42">
        <f>11.5*C58/100</f>
        <v>4.5999999999999996</v>
      </c>
      <c r="F58" s="42">
        <f>0.7*C58/100</f>
        <v>0.28000000000000003</v>
      </c>
      <c r="G58" s="42">
        <f>157*C58/100</f>
        <v>62.8</v>
      </c>
      <c r="H58" s="42">
        <f>0.07*C58/100</f>
        <v>2.8000000000000004E-2</v>
      </c>
      <c r="I58" s="42">
        <f>0*C58/100</f>
        <v>0</v>
      </c>
      <c r="J58" s="42">
        <f>0.25*C58/100</f>
        <v>0.1</v>
      </c>
      <c r="K58" s="42">
        <f>0*C58/100</f>
        <v>0</v>
      </c>
      <c r="L58" s="48">
        <f>55*C58/100</f>
        <v>22</v>
      </c>
      <c r="M58" s="48">
        <f>0.2*C58/100</f>
        <v>0.08</v>
      </c>
      <c r="N58" s="48">
        <f>12.06*C58/100</f>
        <v>4.8240000000000007</v>
      </c>
      <c r="O58" s="42">
        <f>2.5*C58/100</f>
        <v>1</v>
      </c>
      <c r="P58" s="49">
        <f>0.44*C58/100</f>
        <v>0.17600000000000002</v>
      </c>
      <c r="Q58" s="49">
        <f>20*C58/100</f>
        <v>8</v>
      </c>
      <c r="R58" s="233">
        <v>120304</v>
      </c>
      <c r="S58" s="233"/>
    </row>
    <row r="59" spans="1:19" s="63" customFormat="1" x14ac:dyDescent="0.2">
      <c r="A59" s="49">
        <v>4</v>
      </c>
      <c r="B59" s="47" t="s">
        <v>160</v>
      </c>
      <c r="C59" s="41">
        <v>20</v>
      </c>
      <c r="D59" s="42">
        <f>7.76*C59/100</f>
        <v>1.5519999999999998</v>
      </c>
      <c r="E59" s="42">
        <f>2.65*C59/100</f>
        <v>0.53</v>
      </c>
      <c r="F59" s="42">
        <f>53.25*C59/100</f>
        <v>10.65</v>
      </c>
      <c r="G59" s="42">
        <f>273*C59/100</f>
        <v>54.6</v>
      </c>
      <c r="H59" s="42">
        <f>0.34*C59/100</f>
        <v>6.8000000000000005E-2</v>
      </c>
      <c r="I59" s="42">
        <f>0*C59/100</f>
        <v>0</v>
      </c>
      <c r="J59" s="42">
        <v>0</v>
      </c>
      <c r="K59" s="42">
        <f>1.5*C59/100</f>
        <v>0.3</v>
      </c>
      <c r="L59" s="48">
        <f>148.1*C59/100</f>
        <v>29.62</v>
      </c>
      <c r="M59" s="48">
        <f>0*C59/100</f>
        <v>0</v>
      </c>
      <c r="N59" s="48">
        <f>16*C59/100</f>
        <v>3.2</v>
      </c>
      <c r="O59" s="42">
        <f>2.4*C59/100</f>
        <v>0.48</v>
      </c>
      <c r="P59" s="56">
        <f>0.2*C59/100</f>
        <v>0.04</v>
      </c>
      <c r="Q59" s="56">
        <f>1.5*C59/100</f>
        <v>0.3</v>
      </c>
      <c r="R59" s="233">
        <v>200102</v>
      </c>
      <c r="S59" s="233"/>
    </row>
    <row r="60" spans="1:19" s="63" customFormat="1" ht="37.5" x14ac:dyDescent="0.2">
      <c r="A60" s="49">
        <v>5</v>
      </c>
      <c r="B60" s="47" t="s">
        <v>246</v>
      </c>
      <c r="C60" s="41">
        <v>50</v>
      </c>
      <c r="D60" s="60">
        <f>8*C60/100</f>
        <v>4</v>
      </c>
      <c r="E60" s="60">
        <f>5.8*C60/100</f>
        <v>2.9</v>
      </c>
      <c r="F60" s="60">
        <f>53.4*C60/100</f>
        <v>26.7</v>
      </c>
      <c r="G60" s="60">
        <f>297.8*C60/100</f>
        <v>148.9</v>
      </c>
      <c r="H60" s="42">
        <v>0.13</v>
      </c>
      <c r="I60" s="42">
        <v>0</v>
      </c>
      <c r="J60" s="42">
        <v>0.06</v>
      </c>
      <c r="K60" s="42">
        <v>0.94</v>
      </c>
      <c r="L60" s="48">
        <v>27.9</v>
      </c>
      <c r="M60" s="48">
        <v>104.5</v>
      </c>
      <c r="N60" s="48">
        <v>14.2</v>
      </c>
      <c r="O60" s="42">
        <v>0.06</v>
      </c>
      <c r="P60" s="49">
        <v>0.04</v>
      </c>
      <c r="Q60" s="49">
        <v>0.19</v>
      </c>
      <c r="R60" s="231" t="s">
        <v>245</v>
      </c>
      <c r="S60" s="233">
        <v>190203</v>
      </c>
    </row>
    <row r="61" spans="1:19" s="37" customFormat="1" x14ac:dyDescent="0.2">
      <c r="A61" s="49"/>
      <c r="B61" s="132" t="s">
        <v>4</v>
      </c>
      <c r="C61" s="41"/>
      <c r="D61" s="169">
        <f t="shared" ref="D61:Q61" si="9">SUM(D56:D60)</f>
        <v>17.911999999999999</v>
      </c>
      <c r="E61" s="169">
        <f t="shared" si="9"/>
        <v>14.79</v>
      </c>
      <c r="F61" s="169">
        <f t="shared" si="9"/>
        <v>84.53</v>
      </c>
      <c r="G61" s="169">
        <f t="shared" si="9"/>
        <v>531.80000000000007</v>
      </c>
      <c r="H61" s="169">
        <f t="shared" si="9"/>
        <v>1.0260000000000002</v>
      </c>
      <c r="I61" s="169">
        <f t="shared" si="9"/>
        <v>16</v>
      </c>
      <c r="J61" s="169">
        <f t="shared" si="9"/>
        <v>0.16</v>
      </c>
      <c r="K61" s="169">
        <f t="shared" si="9"/>
        <v>5.24</v>
      </c>
      <c r="L61" s="152">
        <f t="shared" si="9"/>
        <v>135.82</v>
      </c>
      <c r="M61" s="152">
        <f t="shared" si="9"/>
        <v>168.62</v>
      </c>
      <c r="N61" s="152">
        <f t="shared" si="9"/>
        <v>25.803999999999998</v>
      </c>
      <c r="O61" s="169">
        <f t="shared" si="9"/>
        <v>6.06</v>
      </c>
      <c r="P61" s="125">
        <f t="shared" si="9"/>
        <v>0.87600000000000011</v>
      </c>
      <c r="Q61" s="125">
        <f t="shared" si="9"/>
        <v>17.970000000000002</v>
      </c>
      <c r="R61" s="233"/>
      <c r="S61" s="233"/>
    </row>
    <row r="62" spans="1:19" s="37" customFormat="1" ht="18" x14ac:dyDescent="0.2">
      <c r="A62" s="279" t="s">
        <v>5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</row>
    <row r="63" spans="1:19" s="63" customFormat="1" x14ac:dyDescent="0.2">
      <c r="A63" s="49">
        <v>1</v>
      </c>
      <c r="B63" s="47" t="s">
        <v>152</v>
      </c>
      <c r="C63" s="41">
        <v>60</v>
      </c>
      <c r="D63" s="42">
        <f>12.38*C63/100</f>
        <v>7.4280000000000008</v>
      </c>
      <c r="E63" s="42">
        <f>13.07*C63/100</f>
        <v>7.8420000000000005</v>
      </c>
      <c r="F63" s="42">
        <f>1.8*C63/100</f>
        <v>1.08</v>
      </c>
      <c r="G63" s="42">
        <f>174.9*C63/100</f>
        <v>104.94</v>
      </c>
      <c r="H63" s="42">
        <f>0.03*C63/100</f>
        <v>1.7999999999999999E-2</v>
      </c>
      <c r="I63" s="42">
        <f>2.2*C63/100</f>
        <v>1.32</v>
      </c>
      <c r="J63" s="42">
        <f>0.01*C63/100</f>
        <v>6.0000000000000001E-3</v>
      </c>
      <c r="K63" s="42">
        <f>1.24*C63/100</f>
        <v>0.74400000000000011</v>
      </c>
      <c r="L63" s="42">
        <f>63.62*C63/100</f>
        <v>38.171999999999997</v>
      </c>
      <c r="M63" s="42">
        <f>204.6*C63/100</f>
        <v>122.76</v>
      </c>
      <c r="N63" s="42">
        <f>31.48*C63/100</f>
        <v>18.887999999999998</v>
      </c>
      <c r="O63" s="42">
        <f>0.96*C63/100</f>
        <v>0.57599999999999996</v>
      </c>
      <c r="P63" s="49">
        <f>0.1*C63/100</f>
        <v>0.06</v>
      </c>
      <c r="Q63" s="49">
        <f>36*C63/100</f>
        <v>21.6</v>
      </c>
      <c r="R63" s="236">
        <v>100601</v>
      </c>
      <c r="S63" s="233"/>
    </row>
    <row r="64" spans="1:19" s="63" customFormat="1" x14ac:dyDescent="0.2">
      <c r="A64" s="49">
        <v>2</v>
      </c>
      <c r="B64" s="47" t="s">
        <v>175</v>
      </c>
      <c r="C64" s="41">
        <v>250</v>
      </c>
      <c r="D64" s="42">
        <f>0.75*C64/100</f>
        <v>1.875</v>
      </c>
      <c r="E64" s="42">
        <f>3.7*C64/100</f>
        <v>9.25</v>
      </c>
      <c r="F64" s="42">
        <f>4.26*C64/100</f>
        <v>10.65</v>
      </c>
      <c r="G64" s="42">
        <f>53.32*C64/100</f>
        <v>133.30000000000001</v>
      </c>
      <c r="H64" s="42">
        <f>0.05*C64/100</f>
        <v>0.125</v>
      </c>
      <c r="I64" s="42">
        <f>4.25*C64/100</f>
        <v>10.625</v>
      </c>
      <c r="J64" s="42">
        <f>0.01*C64/100</f>
        <v>2.5000000000000001E-2</v>
      </c>
      <c r="K64" s="42">
        <f>0.12*C64/100</f>
        <v>0.3</v>
      </c>
      <c r="L64" s="48">
        <f>24.69*C64/100</f>
        <v>61.725000000000001</v>
      </c>
      <c r="M64" s="48">
        <f>75.17*C64/100</f>
        <v>187.92500000000001</v>
      </c>
      <c r="N64" s="48">
        <f>20.2*C64/100</f>
        <v>50.5</v>
      </c>
      <c r="O64" s="42">
        <f>2.38*C64/100</f>
        <v>5.95</v>
      </c>
      <c r="P64" s="49">
        <f>0.07*C64/100</f>
        <v>0.17499999999999999</v>
      </c>
      <c r="Q64" s="49">
        <v>3.63</v>
      </c>
      <c r="R64" s="233">
        <v>110103</v>
      </c>
      <c r="S64" s="233">
        <v>110104</v>
      </c>
    </row>
    <row r="65" spans="1:19" s="63" customFormat="1" x14ac:dyDescent="0.2">
      <c r="A65" s="49">
        <v>3</v>
      </c>
      <c r="B65" s="47" t="s">
        <v>230</v>
      </c>
      <c r="C65" s="41">
        <v>100</v>
      </c>
      <c r="D65" s="42">
        <f>11.4*C65/100</f>
        <v>11.4</v>
      </c>
      <c r="E65" s="42">
        <f>7.5*C65/100</f>
        <v>7.5</v>
      </c>
      <c r="F65" s="42">
        <f>14.2*C65/100</f>
        <v>14.2</v>
      </c>
      <c r="G65" s="42">
        <f>169.9*C65/100</f>
        <v>169.9</v>
      </c>
      <c r="H65" s="42">
        <v>3.5999999999999997E-2</v>
      </c>
      <c r="I65" s="42">
        <v>6.0000000000000001E-3</v>
      </c>
      <c r="J65" s="42">
        <v>0</v>
      </c>
      <c r="K65" s="42">
        <v>1.1499999999999999</v>
      </c>
      <c r="L65" s="48">
        <v>30.75</v>
      </c>
      <c r="M65" s="48">
        <v>87.3</v>
      </c>
      <c r="N65" s="48">
        <v>15.6</v>
      </c>
      <c r="O65" s="42">
        <v>0.73</v>
      </c>
      <c r="P65" s="49">
        <v>0.13</v>
      </c>
      <c r="Q65" s="49">
        <v>4.79</v>
      </c>
      <c r="R65" s="233">
        <v>120617</v>
      </c>
      <c r="S65" s="233">
        <v>120618</v>
      </c>
    </row>
    <row r="66" spans="1:19" s="63" customFormat="1" x14ac:dyDescent="0.2">
      <c r="A66" s="49">
        <v>4</v>
      </c>
      <c r="B66" s="47" t="s">
        <v>13</v>
      </c>
      <c r="C66" s="41">
        <v>30</v>
      </c>
      <c r="D66" s="60">
        <f>0.9*C66/100</f>
        <v>0.27</v>
      </c>
      <c r="E66" s="60">
        <f>4.5*C66/100</f>
        <v>1.35</v>
      </c>
      <c r="F66" s="60">
        <f>7.4*C66/100</f>
        <v>2.2200000000000002</v>
      </c>
      <c r="G66" s="60">
        <f>73.7*C66/100</f>
        <v>22.11</v>
      </c>
      <c r="H66" s="42">
        <v>8.9999999999999993E-3</v>
      </c>
      <c r="I66" s="42">
        <v>0.15</v>
      </c>
      <c r="J66" s="42">
        <v>6.0000000000000001E-3</v>
      </c>
      <c r="K66" s="42">
        <v>0.03</v>
      </c>
      <c r="L66" s="48">
        <v>46.05</v>
      </c>
      <c r="M66" s="48">
        <v>32.85</v>
      </c>
      <c r="N66" s="48">
        <v>5.0999999999999996</v>
      </c>
      <c r="O66" s="42">
        <v>0.03</v>
      </c>
      <c r="P66" s="49">
        <v>0.03</v>
      </c>
      <c r="Q66" s="49">
        <v>1.35</v>
      </c>
      <c r="R66" s="233">
        <v>140104</v>
      </c>
      <c r="S66" s="233">
        <v>140105</v>
      </c>
    </row>
    <row r="67" spans="1:19" s="63" customFormat="1" x14ac:dyDescent="0.2">
      <c r="A67" s="49">
        <v>5</v>
      </c>
      <c r="B67" s="47" t="s">
        <v>192</v>
      </c>
      <c r="C67" s="41">
        <v>150</v>
      </c>
      <c r="D67" s="42">
        <f>2.525*C67/100</f>
        <v>3.7875000000000001</v>
      </c>
      <c r="E67" s="42">
        <f>8.225*C67/100</f>
        <v>12.3375</v>
      </c>
      <c r="F67" s="42">
        <f>25.34*C67/100</f>
        <v>38.01</v>
      </c>
      <c r="G67" s="42">
        <f>185.5*C67/100</f>
        <v>278.25</v>
      </c>
      <c r="H67" s="42">
        <f>0.14*C67/100</f>
        <v>0.21000000000000005</v>
      </c>
      <c r="I67" s="42">
        <f>0*C67/100</f>
        <v>0</v>
      </c>
      <c r="J67" s="42">
        <f>0.04*C67/100</f>
        <v>0.06</v>
      </c>
      <c r="K67" s="42">
        <f>0.1*C67/100</f>
        <v>0.15</v>
      </c>
      <c r="L67" s="48">
        <f>12.98*C67/100</f>
        <v>19.47</v>
      </c>
      <c r="M67" s="48">
        <f>133.3*C67/100</f>
        <v>199.95</v>
      </c>
      <c r="N67" s="48">
        <f>88.86*C67/100</f>
        <v>133.29</v>
      </c>
      <c r="O67" s="42">
        <f>2.97*C67/100</f>
        <v>4.455000000000001</v>
      </c>
      <c r="P67" s="49">
        <f>0.079*C67/100</f>
        <v>0.11849999999999999</v>
      </c>
      <c r="Q67" s="49">
        <v>2.0699999999999998</v>
      </c>
      <c r="R67" s="233">
        <v>130305</v>
      </c>
      <c r="S67" s="233">
        <v>130306</v>
      </c>
    </row>
    <row r="68" spans="1:19" s="37" customFormat="1" x14ac:dyDescent="0.2">
      <c r="A68" s="49">
        <v>6</v>
      </c>
      <c r="B68" s="47" t="s">
        <v>126</v>
      </c>
      <c r="C68" s="41">
        <v>200</v>
      </c>
      <c r="D68" s="42">
        <f>0.08*C68/100</f>
        <v>0.16</v>
      </c>
      <c r="E68" s="42">
        <f>0.06*C68/100</f>
        <v>0.12</v>
      </c>
      <c r="F68" s="42">
        <f>8*C68/100</f>
        <v>16</v>
      </c>
      <c r="G68" s="42">
        <f>23.36*C68/100</f>
        <v>46.72</v>
      </c>
      <c r="H68" s="42">
        <f>0*C68/100</f>
        <v>0</v>
      </c>
      <c r="I68" s="42">
        <f>1*C68/100</f>
        <v>2</v>
      </c>
      <c r="J68" s="42">
        <f>0*C68/100</f>
        <v>0</v>
      </c>
      <c r="K68" s="42">
        <f>0.08*C68/100</f>
        <v>0.16</v>
      </c>
      <c r="L68" s="48">
        <f>7.96*C68/100</f>
        <v>15.92</v>
      </c>
      <c r="M68" s="48">
        <f>3.2*C68/100</f>
        <v>6.4</v>
      </c>
      <c r="N68" s="48">
        <f>3.3*C68/100</f>
        <v>6.6</v>
      </c>
      <c r="O68" s="42">
        <f>0.47*C68/100</f>
        <v>0.94</v>
      </c>
      <c r="P68" s="62">
        <f>0.01*C68/100</f>
        <v>0.02</v>
      </c>
      <c r="Q68" s="62">
        <v>2.3199999999999998</v>
      </c>
      <c r="R68" s="233">
        <v>160208</v>
      </c>
      <c r="S68" s="233"/>
    </row>
    <row r="69" spans="1:19" s="63" customFormat="1" x14ac:dyDescent="0.2">
      <c r="A69" s="49">
        <v>7</v>
      </c>
      <c r="B69" s="47" t="s">
        <v>160</v>
      </c>
      <c r="C69" s="41">
        <v>40</v>
      </c>
      <c r="D69" s="42">
        <f>7.76*C69/100</f>
        <v>3.1039999999999996</v>
      </c>
      <c r="E69" s="42">
        <f>2.65*C69/100</f>
        <v>1.06</v>
      </c>
      <c r="F69" s="42">
        <f>53.25*C69/100</f>
        <v>21.3</v>
      </c>
      <c r="G69" s="42">
        <f>273*C69/100</f>
        <v>109.2</v>
      </c>
      <c r="H69" s="42">
        <f>0.34*C69/100</f>
        <v>0.13600000000000001</v>
      </c>
      <c r="I69" s="42">
        <f>0*C69/100</f>
        <v>0</v>
      </c>
      <c r="J69" s="42">
        <v>0</v>
      </c>
      <c r="K69" s="42">
        <f>1.5*C69/100</f>
        <v>0.6</v>
      </c>
      <c r="L69" s="48">
        <f>148.1*C69/100</f>
        <v>59.24</v>
      </c>
      <c r="M69" s="48">
        <f>0*C69/100</f>
        <v>0</v>
      </c>
      <c r="N69" s="48">
        <f>16*C69/100</f>
        <v>6.4</v>
      </c>
      <c r="O69" s="42">
        <f>2.4*C69/100</f>
        <v>0.96</v>
      </c>
      <c r="P69" s="56">
        <f>0.2*C69/100</f>
        <v>0.08</v>
      </c>
      <c r="Q69" s="56">
        <f>1.5*C69/100</f>
        <v>0.6</v>
      </c>
      <c r="R69" s="233">
        <v>200102</v>
      </c>
      <c r="S69" s="233"/>
    </row>
    <row r="70" spans="1:19" s="63" customFormat="1" x14ac:dyDescent="0.2">
      <c r="A70" s="49">
        <v>8</v>
      </c>
      <c r="B70" s="47" t="s">
        <v>159</v>
      </c>
      <c r="C70" s="41">
        <v>20</v>
      </c>
      <c r="D70" s="42">
        <f>5.86*C70/100</f>
        <v>1.1719999999999999</v>
      </c>
      <c r="E70" s="42">
        <f>0.94*C70/100</f>
        <v>0.18799999999999997</v>
      </c>
      <c r="F70" s="42">
        <f>44.4*C70/100</f>
        <v>8.8800000000000008</v>
      </c>
      <c r="G70" s="42">
        <f>189*C70/100</f>
        <v>37.799999999999997</v>
      </c>
      <c r="H70" s="42">
        <f>0.4*C70/100</f>
        <v>0.08</v>
      </c>
      <c r="I70" s="42">
        <f>0.03*C70/100</f>
        <v>6.0000000000000001E-3</v>
      </c>
      <c r="J70" s="42">
        <v>0</v>
      </c>
      <c r="K70" s="42">
        <f>1.7*C70/100</f>
        <v>0.34</v>
      </c>
      <c r="L70" s="48">
        <f>25.4*C70/100</f>
        <v>5.08</v>
      </c>
      <c r="M70" s="48">
        <f>105.53*C70/100</f>
        <v>21.105999999999998</v>
      </c>
      <c r="N70" s="48">
        <f>36.5*C70/100</f>
        <v>7.3</v>
      </c>
      <c r="O70" s="42">
        <f>2.45*C70/100</f>
        <v>0.49</v>
      </c>
      <c r="P70" s="56">
        <f>0.2*C70/100</f>
        <v>0.04</v>
      </c>
      <c r="Q70" s="56">
        <f>10*C70/100</f>
        <v>2</v>
      </c>
      <c r="R70" s="233">
        <v>200103</v>
      </c>
      <c r="S70" s="233"/>
    </row>
    <row r="71" spans="1:19" s="37" customFormat="1" x14ac:dyDescent="0.2">
      <c r="A71" s="49"/>
      <c r="B71" s="132" t="s">
        <v>4</v>
      </c>
      <c r="C71" s="120"/>
      <c r="D71" s="168">
        <f t="shared" ref="D71:Q71" si="10">SUM(D63:D70)</f>
        <v>29.196500000000004</v>
      </c>
      <c r="E71" s="168">
        <f t="shared" si="10"/>
        <v>39.647500000000001</v>
      </c>
      <c r="F71" s="168">
        <f t="shared" si="10"/>
        <v>112.33999999999999</v>
      </c>
      <c r="G71" s="168">
        <f t="shared" si="10"/>
        <v>902.22</v>
      </c>
      <c r="H71" s="168">
        <f t="shared" si="10"/>
        <v>0.61399999999999999</v>
      </c>
      <c r="I71" s="168">
        <f t="shared" si="10"/>
        <v>14.107000000000001</v>
      </c>
      <c r="J71" s="168">
        <f t="shared" si="10"/>
        <v>9.7000000000000003E-2</v>
      </c>
      <c r="K71" s="168">
        <f t="shared" si="10"/>
        <v>3.4739999999999998</v>
      </c>
      <c r="L71" s="167">
        <f t="shared" si="10"/>
        <v>276.40699999999998</v>
      </c>
      <c r="M71" s="167">
        <f t="shared" si="10"/>
        <v>658.29100000000005</v>
      </c>
      <c r="N71" s="167">
        <f t="shared" si="10"/>
        <v>243.678</v>
      </c>
      <c r="O71" s="168">
        <f t="shared" si="10"/>
        <v>14.131000000000002</v>
      </c>
      <c r="P71" s="125">
        <f t="shared" si="10"/>
        <v>0.65350000000000008</v>
      </c>
      <c r="Q71" s="125">
        <f t="shared" si="10"/>
        <v>38.36</v>
      </c>
      <c r="R71" s="233"/>
      <c r="S71" s="233"/>
    </row>
    <row r="72" spans="1:19" s="37" customFormat="1" x14ac:dyDescent="0.2">
      <c r="A72" s="299" t="s">
        <v>35</v>
      </c>
      <c r="B72" s="299"/>
      <c r="C72" s="299"/>
      <c r="D72" s="299"/>
      <c r="E72" s="299"/>
      <c r="F72" s="299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</row>
    <row r="73" spans="1:19" s="63" customFormat="1" x14ac:dyDescent="0.2">
      <c r="A73" s="49">
        <v>1</v>
      </c>
      <c r="B73" s="47" t="s">
        <v>233</v>
      </c>
      <c r="C73" s="41">
        <v>200</v>
      </c>
      <c r="D73" s="166">
        <f>0*C73/100</f>
        <v>0</v>
      </c>
      <c r="E73" s="166">
        <f>0*C73/100</f>
        <v>0</v>
      </c>
      <c r="F73" s="166">
        <f>0*C73/100</f>
        <v>0</v>
      </c>
      <c r="G73" s="166">
        <f>17*C73/100</f>
        <v>34</v>
      </c>
      <c r="H73" s="42">
        <v>0</v>
      </c>
      <c r="I73" s="42">
        <v>0</v>
      </c>
      <c r="J73" s="42">
        <v>0</v>
      </c>
      <c r="K73" s="42">
        <v>0</v>
      </c>
      <c r="L73" s="48">
        <v>4.8600000000000003</v>
      </c>
      <c r="M73" s="48">
        <v>0</v>
      </c>
      <c r="N73" s="48">
        <v>1.08</v>
      </c>
      <c r="O73" s="42">
        <v>0</v>
      </c>
      <c r="P73" s="49">
        <v>0</v>
      </c>
      <c r="Q73" s="49">
        <v>0</v>
      </c>
      <c r="R73" s="233">
        <v>160107</v>
      </c>
      <c r="S73" s="233"/>
    </row>
    <row r="74" spans="1:19" s="63" customFormat="1" x14ac:dyDescent="0.3">
      <c r="A74" s="49">
        <v>2</v>
      </c>
      <c r="B74" s="47" t="s">
        <v>140</v>
      </c>
      <c r="C74" s="41">
        <v>10</v>
      </c>
      <c r="D74" s="166">
        <f>0*C74/100</f>
        <v>0</v>
      </c>
      <c r="E74" s="166">
        <f>0*C74/100</f>
        <v>0</v>
      </c>
      <c r="F74" s="166">
        <f>99.8*C74/100</f>
        <v>9.98</v>
      </c>
      <c r="G74" s="166">
        <f>374.3*C74/100</f>
        <v>37.43</v>
      </c>
      <c r="H74" s="42">
        <v>0</v>
      </c>
      <c r="I74" s="42">
        <v>0</v>
      </c>
      <c r="J74" s="42">
        <v>0</v>
      </c>
      <c r="K74" s="42">
        <v>0</v>
      </c>
      <c r="L74" s="42">
        <v>0.2</v>
      </c>
      <c r="M74" s="42">
        <v>0</v>
      </c>
      <c r="N74" s="42">
        <v>0</v>
      </c>
      <c r="O74" s="42">
        <v>0.03</v>
      </c>
      <c r="P74" s="55">
        <v>0</v>
      </c>
      <c r="Q74" s="55">
        <v>0</v>
      </c>
      <c r="R74" s="233"/>
      <c r="S74" s="233"/>
    </row>
    <row r="75" spans="1:19" s="63" customFormat="1" ht="37.5" x14ac:dyDescent="0.2">
      <c r="A75" s="49">
        <v>3</v>
      </c>
      <c r="B75" s="47" t="s">
        <v>164</v>
      </c>
      <c r="C75" s="41">
        <v>10</v>
      </c>
      <c r="D75" s="42">
        <f>0.5*C75/100</f>
        <v>0.05</v>
      </c>
      <c r="E75" s="42">
        <f>82.5*C75/100</f>
        <v>8.25</v>
      </c>
      <c r="F75" s="42">
        <f>0.8*C75/100</f>
        <v>0.08</v>
      </c>
      <c r="G75" s="42">
        <f>748*C75/100</f>
        <v>74.8</v>
      </c>
      <c r="H75" s="42">
        <v>0</v>
      </c>
      <c r="I75" s="42">
        <v>0</v>
      </c>
      <c r="J75" s="42">
        <f>0.4*C75/100</f>
        <v>0.04</v>
      </c>
      <c r="K75" s="42">
        <f>1*C75/100</f>
        <v>0.1</v>
      </c>
      <c r="L75" s="48">
        <f>12*C75/100</f>
        <v>1.2</v>
      </c>
      <c r="M75" s="48">
        <f>19*C75/100</f>
        <v>1.9</v>
      </c>
      <c r="N75" s="48">
        <f>0*C75/100</f>
        <v>0</v>
      </c>
      <c r="O75" s="42">
        <f>0.2*C75/100</f>
        <v>0.02</v>
      </c>
      <c r="P75" s="56">
        <f>0.1*C75/100</f>
        <v>0.01</v>
      </c>
      <c r="Q75" s="49">
        <v>0</v>
      </c>
      <c r="R75" s="233"/>
      <c r="S75" s="233"/>
    </row>
    <row r="76" spans="1:19" s="65" customFormat="1" ht="56.25" x14ac:dyDescent="0.2">
      <c r="A76" s="49">
        <v>4</v>
      </c>
      <c r="B76" s="178" t="s">
        <v>188</v>
      </c>
      <c r="C76" s="179">
        <v>20</v>
      </c>
      <c r="D76" s="180">
        <f>26*C76/100</f>
        <v>5.2</v>
      </c>
      <c r="E76" s="180">
        <f>26.1*C76/100</f>
        <v>5.22</v>
      </c>
      <c r="F76" s="180">
        <f>0*C76/100</f>
        <v>0</v>
      </c>
      <c r="G76" s="62">
        <f>344*C76/100</f>
        <v>68.8</v>
      </c>
      <c r="H76" s="56">
        <f>0.03*C76/100</f>
        <v>6.0000000000000001E-3</v>
      </c>
      <c r="I76" s="56">
        <f>0.8*C76/100</f>
        <v>0.16</v>
      </c>
      <c r="J76" s="56">
        <f>0.23*C76/100</f>
        <v>4.6000000000000006E-2</v>
      </c>
      <c r="K76" s="56">
        <f>0.5*C76/100</f>
        <v>0.1</v>
      </c>
      <c r="L76" s="123">
        <f>1000*C76/100</f>
        <v>200</v>
      </c>
      <c r="M76" s="123">
        <f>650*C76/100</f>
        <v>130</v>
      </c>
      <c r="N76" s="123">
        <f>45*C76/100</f>
        <v>9</v>
      </c>
      <c r="O76" s="56">
        <f>0.8*C76/100</f>
        <v>0.16</v>
      </c>
      <c r="P76" s="56">
        <f>0.3*C76/100</f>
        <v>0.06</v>
      </c>
      <c r="Q76" s="56">
        <v>0</v>
      </c>
      <c r="R76" s="233">
        <v>100102</v>
      </c>
      <c r="S76" s="237"/>
    </row>
    <row r="77" spans="1:19" s="63" customFormat="1" x14ac:dyDescent="0.2">
      <c r="A77" s="49">
        <v>5</v>
      </c>
      <c r="B77" s="47" t="s">
        <v>160</v>
      </c>
      <c r="C77" s="41">
        <v>20</v>
      </c>
      <c r="D77" s="42">
        <f>7.76*C77/100</f>
        <v>1.5519999999999998</v>
      </c>
      <c r="E77" s="42">
        <f>2.65*C77/100</f>
        <v>0.53</v>
      </c>
      <c r="F77" s="42">
        <f>53.25*C77/100</f>
        <v>10.65</v>
      </c>
      <c r="G77" s="42">
        <f>273*C77/100</f>
        <v>54.6</v>
      </c>
      <c r="H77" s="42">
        <f>0.34*C77/100</f>
        <v>6.8000000000000005E-2</v>
      </c>
      <c r="I77" s="42">
        <f>0*C77/100</f>
        <v>0</v>
      </c>
      <c r="J77" s="42">
        <v>0</v>
      </c>
      <c r="K77" s="42">
        <f>1.5*C77/100</f>
        <v>0.3</v>
      </c>
      <c r="L77" s="48">
        <f>148.1*C77/100</f>
        <v>29.62</v>
      </c>
      <c r="M77" s="48">
        <f>0*C77/100</f>
        <v>0</v>
      </c>
      <c r="N77" s="48">
        <f>16*C77/100</f>
        <v>3.2</v>
      </c>
      <c r="O77" s="42">
        <f>2.4*C77/100</f>
        <v>0.48</v>
      </c>
      <c r="P77" s="56">
        <f>0.2*C77/100</f>
        <v>0.04</v>
      </c>
      <c r="Q77" s="56">
        <f>1.5*C77/100</f>
        <v>0.3</v>
      </c>
      <c r="R77" s="233">
        <v>200102</v>
      </c>
      <c r="S77" s="233"/>
    </row>
    <row r="78" spans="1:19" s="37" customFormat="1" x14ac:dyDescent="0.2">
      <c r="A78" s="49"/>
      <c r="B78" s="132" t="s">
        <v>4</v>
      </c>
      <c r="C78" s="41"/>
      <c r="D78" s="169">
        <f t="shared" ref="D78:Q78" si="11">SUM(D73:D77)</f>
        <v>6.8019999999999996</v>
      </c>
      <c r="E78" s="169">
        <f t="shared" si="11"/>
        <v>13.999999999999998</v>
      </c>
      <c r="F78" s="169">
        <f t="shared" si="11"/>
        <v>20.71</v>
      </c>
      <c r="G78" s="169">
        <f t="shared" si="11"/>
        <v>269.63000000000005</v>
      </c>
      <c r="H78" s="169">
        <f t="shared" si="11"/>
        <v>7.400000000000001E-2</v>
      </c>
      <c r="I78" s="169">
        <f t="shared" si="11"/>
        <v>0.16</v>
      </c>
      <c r="J78" s="169">
        <f t="shared" si="11"/>
        <v>8.6000000000000007E-2</v>
      </c>
      <c r="K78" s="169">
        <f t="shared" si="11"/>
        <v>0.5</v>
      </c>
      <c r="L78" s="152">
        <f t="shared" si="11"/>
        <v>235.88</v>
      </c>
      <c r="M78" s="152">
        <f t="shared" si="11"/>
        <v>131.9</v>
      </c>
      <c r="N78" s="152">
        <f t="shared" si="11"/>
        <v>13.280000000000001</v>
      </c>
      <c r="O78" s="169">
        <f t="shared" si="11"/>
        <v>0.69</v>
      </c>
      <c r="P78" s="125">
        <f t="shared" si="11"/>
        <v>0.10999999999999999</v>
      </c>
      <c r="Q78" s="125">
        <f t="shared" si="11"/>
        <v>0.3</v>
      </c>
      <c r="R78" s="233"/>
      <c r="S78" s="233"/>
    </row>
    <row r="79" spans="1:19" s="37" customFormat="1" x14ac:dyDescent="0.2">
      <c r="A79" s="49"/>
      <c r="B79" s="132" t="s">
        <v>7</v>
      </c>
      <c r="C79" s="41"/>
      <c r="D79" s="168">
        <f t="shared" ref="D79:Q79" si="12">D61+D71+D78</f>
        <v>53.910500000000006</v>
      </c>
      <c r="E79" s="168">
        <f t="shared" si="12"/>
        <v>68.4375</v>
      </c>
      <c r="F79" s="168">
        <f t="shared" si="12"/>
        <v>217.58</v>
      </c>
      <c r="G79" s="168">
        <f t="shared" si="12"/>
        <v>1703.65</v>
      </c>
      <c r="H79" s="168">
        <f t="shared" si="12"/>
        <v>1.7140000000000002</v>
      </c>
      <c r="I79" s="168">
        <f t="shared" si="12"/>
        <v>30.266999999999999</v>
      </c>
      <c r="J79" s="168">
        <f t="shared" si="12"/>
        <v>0.34300000000000003</v>
      </c>
      <c r="K79" s="168">
        <f t="shared" si="12"/>
        <v>9.2140000000000004</v>
      </c>
      <c r="L79" s="167">
        <f t="shared" si="12"/>
        <v>648.10699999999997</v>
      </c>
      <c r="M79" s="167">
        <f t="shared" si="12"/>
        <v>958.81100000000004</v>
      </c>
      <c r="N79" s="167">
        <f t="shared" si="12"/>
        <v>282.76199999999994</v>
      </c>
      <c r="O79" s="168">
        <f t="shared" si="12"/>
        <v>20.881000000000004</v>
      </c>
      <c r="P79" s="168">
        <f t="shared" si="12"/>
        <v>1.6395</v>
      </c>
      <c r="Q79" s="168">
        <f t="shared" si="12"/>
        <v>56.629999999999995</v>
      </c>
      <c r="R79" s="233"/>
      <c r="S79" s="233"/>
    </row>
    <row r="80" spans="1:19" s="37" customFormat="1" x14ac:dyDescent="0.2">
      <c r="A80" s="279" t="s">
        <v>44</v>
      </c>
      <c r="B80" s="279"/>
      <c r="C80" s="279"/>
      <c r="D80" s="279"/>
      <c r="E80" s="279"/>
      <c r="F80" s="279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</row>
    <row r="81" spans="1:19" s="37" customFormat="1" ht="18" x14ac:dyDescent="0.2">
      <c r="A81" s="279" t="s">
        <v>3</v>
      </c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</row>
    <row r="82" spans="1:19" s="63" customFormat="1" x14ac:dyDescent="0.2">
      <c r="A82" s="49">
        <v>1</v>
      </c>
      <c r="B82" s="47" t="s">
        <v>261</v>
      </c>
      <c r="C82" s="41">
        <v>150</v>
      </c>
      <c r="D82" s="176">
        <f>3.8*C82/100</f>
        <v>5.7</v>
      </c>
      <c r="E82" s="176">
        <f>4.8*C82/100</f>
        <v>7.2</v>
      </c>
      <c r="F82" s="176">
        <f>15.6*C82/100</f>
        <v>23.4</v>
      </c>
      <c r="G82" s="176">
        <f>120.8*C82/100</f>
        <v>181.2</v>
      </c>
      <c r="H82" s="42">
        <f>0.07*C82/100</f>
        <v>0.10500000000000002</v>
      </c>
      <c r="I82" s="42">
        <f>14.25*C82/100</f>
        <v>21.375</v>
      </c>
      <c r="J82" s="42">
        <f>0.03*C82/100</f>
        <v>4.4999999999999998E-2</v>
      </c>
      <c r="K82" s="42">
        <f>0.08*C82/100</f>
        <v>0.12</v>
      </c>
      <c r="L82" s="48">
        <f>10.45*C82/100</f>
        <v>15.675000000000001</v>
      </c>
      <c r="M82" s="48">
        <f>55.18*C82/100</f>
        <v>82.77</v>
      </c>
      <c r="N82" s="48">
        <f>20.27*C82/100</f>
        <v>30.405000000000001</v>
      </c>
      <c r="O82" s="42">
        <f>0.64*C82/100</f>
        <v>0.96</v>
      </c>
      <c r="P82" s="49">
        <f>0.01*C82/100</f>
        <v>1.4999999999999999E-2</v>
      </c>
      <c r="Q82" s="49">
        <f>3.3*C82/100</f>
        <v>4.95</v>
      </c>
      <c r="R82" s="233">
        <v>120201</v>
      </c>
      <c r="S82" s="233">
        <v>120202</v>
      </c>
    </row>
    <row r="83" spans="1:19" s="63" customFormat="1" x14ac:dyDescent="0.2">
      <c r="A83" s="49">
        <v>2</v>
      </c>
      <c r="B83" s="47" t="s">
        <v>147</v>
      </c>
      <c r="C83" s="59">
        <v>200</v>
      </c>
      <c r="D83" s="60">
        <f>0.1*C83/100</f>
        <v>0.2</v>
      </c>
      <c r="E83" s="60">
        <f>0.02*C83/100</f>
        <v>0.04</v>
      </c>
      <c r="F83" s="60">
        <f>5.11*C83/100</f>
        <v>10.220000000000001</v>
      </c>
      <c r="G83" s="42">
        <f>21.14*C83/100</f>
        <v>42.28</v>
      </c>
      <c r="H83" s="49">
        <f>C83*0/100</f>
        <v>0</v>
      </c>
      <c r="I83" s="49">
        <f>1.43*C83/100</f>
        <v>2.86</v>
      </c>
      <c r="J83" s="49">
        <f>C83*0/100000</f>
        <v>0</v>
      </c>
      <c r="K83" s="49">
        <f>C83*0.01/100</f>
        <v>0.02</v>
      </c>
      <c r="L83" s="48">
        <f>C83*7.87/100</f>
        <v>15.74</v>
      </c>
      <c r="M83" s="48">
        <f>C83*3.65/100</f>
        <v>7.3</v>
      </c>
      <c r="N83" s="48">
        <f>C83*2.98/100</f>
        <v>5.96</v>
      </c>
      <c r="O83" s="49">
        <f>C83*0.32/100</f>
        <v>0.64</v>
      </c>
      <c r="P83" s="49">
        <v>0</v>
      </c>
      <c r="Q83" s="49">
        <v>2.13</v>
      </c>
      <c r="R83" s="233">
        <v>160106</v>
      </c>
      <c r="S83" s="233"/>
    </row>
    <row r="84" spans="1:19" s="63" customFormat="1" x14ac:dyDescent="0.2">
      <c r="A84" s="49">
        <v>3</v>
      </c>
      <c r="B84" s="47" t="s">
        <v>160</v>
      </c>
      <c r="C84" s="41">
        <v>20</v>
      </c>
      <c r="D84" s="42">
        <f>7.76*C84/100</f>
        <v>1.5519999999999998</v>
      </c>
      <c r="E84" s="42">
        <f>2.65*C84/100</f>
        <v>0.53</v>
      </c>
      <c r="F84" s="42">
        <f>53.25*C84/100</f>
        <v>10.65</v>
      </c>
      <c r="G84" s="42">
        <f>273*C84/100</f>
        <v>54.6</v>
      </c>
      <c r="H84" s="42">
        <f>0.34*C84/100</f>
        <v>6.8000000000000005E-2</v>
      </c>
      <c r="I84" s="42">
        <f>0*C84/100</f>
        <v>0</v>
      </c>
      <c r="J84" s="42">
        <v>0</v>
      </c>
      <c r="K84" s="42">
        <f>1.5*C84/100</f>
        <v>0.3</v>
      </c>
      <c r="L84" s="48">
        <f>148.1*C84/100</f>
        <v>29.62</v>
      </c>
      <c r="M84" s="48">
        <f>0*C84/100</f>
        <v>0</v>
      </c>
      <c r="N84" s="48">
        <f>16*C84/100</f>
        <v>3.2</v>
      </c>
      <c r="O84" s="42">
        <f>2.4*C84/100</f>
        <v>0.48</v>
      </c>
      <c r="P84" s="56">
        <f>0.2*C84/100</f>
        <v>0.04</v>
      </c>
      <c r="Q84" s="56">
        <f>1.5*C84/100</f>
        <v>0.3</v>
      </c>
      <c r="R84" s="233">
        <v>200102</v>
      </c>
      <c r="S84" s="233"/>
    </row>
    <row r="85" spans="1:19" s="63" customFormat="1" ht="37.5" x14ac:dyDescent="0.2">
      <c r="A85" s="49">
        <v>4</v>
      </c>
      <c r="B85" s="47" t="s">
        <v>164</v>
      </c>
      <c r="C85" s="41">
        <v>10</v>
      </c>
      <c r="D85" s="42">
        <f>0.5*C85/100</f>
        <v>0.05</v>
      </c>
      <c r="E85" s="42">
        <f>82.5*C85/100</f>
        <v>8.25</v>
      </c>
      <c r="F85" s="42">
        <f>0.8*C85/100</f>
        <v>0.08</v>
      </c>
      <c r="G85" s="42">
        <f>748*C85/100</f>
        <v>74.8</v>
      </c>
      <c r="H85" s="42">
        <v>0</v>
      </c>
      <c r="I85" s="42">
        <v>0</v>
      </c>
      <c r="J85" s="42">
        <f>0.4*C85/100</f>
        <v>0.04</v>
      </c>
      <c r="K85" s="42">
        <f>1*C85/100</f>
        <v>0.1</v>
      </c>
      <c r="L85" s="48">
        <f>12*C85/100</f>
        <v>1.2</v>
      </c>
      <c r="M85" s="48">
        <f>19*C85/100</f>
        <v>1.9</v>
      </c>
      <c r="N85" s="48">
        <f>0*C85/100</f>
        <v>0</v>
      </c>
      <c r="O85" s="42">
        <f>0.2*C85/100</f>
        <v>0.02</v>
      </c>
      <c r="P85" s="56">
        <f>0.1*C85/100</f>
        <v>0.01</v>
      </c>
      <c r="Q85" s="49">
        <v>0</v>
      </c>
      <c r="R85" s="233"/>
      <c r="S85" s="233"/>
    </row>
    <row r="86" spans="1:19" s="53" customFormat="1" ht="18.75" customHeight="1" x14ac:dyDescent="0.3">
      <c r="A86" s="49">
        <v>5</v>
      </c>
      <c r="B86" s="47" t="s">
        <v>232</v>
      </c>
      <c r="C86" s="41" t="s">
        <v>274</v>
      </c>
      <c r="D86" s="42">
        <v>3.3</v>
      </c>
      <c r="E86" s="42">
        <v>1.1000000000000001</v>
      </c>
      <c r="F86" s="42">
        <v>46.2</v>
      </c>
      <c r="G86" s="42">
        <v>211.2</v>
      </c>
      <c r="H86" s="42">
        <v>8.8000000000000009E-2</v>
      </c>
      <c r="I86" s="42">
        <v>22</v>
      </c>
      <c r="J86" s="42">
        <v>0</v>
      </c>
      <c r="K86" s="42">
        <v>0.88</v>
      </c>
      <c r="L86" s="42">
        <v>17.600000000000001</v>
      </c>
      <c r="M86" s="42">
        <v>61.6</v>
      </c>
      <c r="N86" s="42">
        <v>92.4</v>
      </c>
      <c r="O86" s="42">
        <v>2.2000000000000001E-3</v>
      </c>
      <c r="P86" s="55">
        <v>0.11</v>
      </c>
      <c r="Q86" s="55">
        <v>0</v>
      </c>
      <c r="R86" s="235">
        <v>210103</v>
      </c>
      <c r="S86" s="235"/>
    </row>
    <row r="87" spans="1:19" s="37" customFormat="1" x14ac:dyDescent="0.2">
      <c r="A87" s="49"/>
      <c r="B87" s="132" t="s">
        <v>4</v>
      </c>
      <c r="C87" s="120"/>
      <c r="D87" s="169">
        <f t="shared" ref="D87:Q87" si="13">SUM(D82:D86)</f>
        <v>10.802</v>
      </c>
      <c r="E87" s="169">
        <f t="shared" si="13"/>
        <v>17.12</v>
      </c>
      <c r="F87" s="169">
        <f t="shared" si="13"/>
        <v>90.55</v>
      </c>
      <c r="G87" s="169">
        <f t="shared" si="13"/>
        <v>564.07999999999993</v>
      </c>
      <c r="H87" s="169">
        <f t="shared" si="13"/>
        <v>0.26100000000000007</v>
      </c>
      <c r="I87" s="169">
        <f t="shared" si="13"/>
        <v>46.234999999999999</v>
      </c>
      <c r="J87" s="169">
        <f t="shared" si="13"/>
        <v>8.4999999999999992E-2</v>
      </c>
      <c r="K87" s="169">
        <f t="shared" si="13"/>
        <v>1.42</v>
      </c>
      <c r="L87" s="152">
        <f t="shared" si="13"/>
        <v>79.835000000000008</v>
      </c>
      <c r="M87" s="152">
        <f t="shared" si="13"/>
        <v>153.57</v>
      </c>
      <c r="N87" s="152">
        <f t="shared" si="13"/>
        <v>131.965</v>
      </c>
      <c r="O87" s="169">
        <f t="shared" si="13"/>
        <v>2.1022000000000003</v>
      </c>
      <c r="P87" s="125">
        <f t="shared" si="13"/>
        <v>0.17499999999999999</v>
      </c>
      <c r="Q87" s="125">
        <f t="shared" si="13"/>
        <v>7.38</v>
      </c>
      <c r="R87" s="233"/>
      <c r="S87" s="233"/>
    </row>
    <row r="88" spans="1:19" s="37" customFormat="1" ht="18" x14ac:dyDescent="0.2">
      <c r="A88" s="279" t="s">
        <v>5</v>
      </c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</row>
    <row r="89" spans="1:19" s="63" customFormat="1" x14ac:dyDescent="0.2">
      <c r="A89" s="49">
        <v>1</v>
      </c>
      <c r="B89" s="47" t="s">
        <v>133</v>
      </c>
      <c r="C89" s="182">
        <v>60</v>
      </c>
      <c r="D89" s="42">
        <f>0.74*C89/100</f>
        <v>0.44400000000000001</v>
      </c>
      <c r="E89" s="42">
        <f>12.08*C89/100</f>
        <v>7.2479999999999993</v>
      </c>
      <c r="F89" s="42">
        <f>2.36*C89/100</f>
        <v>1.4159999999999999</v>
      </c>
      <c r="G89" s="42">
        <f>120.69*C89/100</f>
        <v>72.414000000000001</v>
      </c>
      <c r="H89" s="94">
        <f>0.03*C89/100</f>
        <v>1.7999999999999999E-2</v>
      </c>
      <c r="I89" s="94">
        <f>10.3*C89/100</f>
        <v>6.18</v>
      </c>
      <c r="J89" s="94">
        <v>0</v>
      </c>
      <c r="K89" s="94">
        <f>2.16*C89/100</f>
        <v>1.2960000000000003</v>
      </c>
      <c r="L89" s="124">
        <f>22.69*C89/100</f>
        <v>13.614000000000001</v>
      </c>
      <c r="M89" s="124">
        <f>38.15*C89/100</f>
        <v>22.89</v>
      </c>
      <c r="N89" s="124">
        <f>13.17*C89/100</f>
        <v>7.9020000000000001</v>
      </c>
      <c r="O89" s="94">
        <f>0.55*C89/100</f>
        <v>0.33</v>
      </c>
      <c r="P89" s="49">
        <v>0.04</v>
      </c>
      <c r="Q89" s="49">
        <v>1.1299999999999999</v>
      </c>
      <c r="R89" s="233">
        <v>100507</v>
      </c>
      <c r="S89" s="233"/>
    </row>
    <row r="90" spans="1:19" s="63" customFormat="1" ht="31.5" x14ac:dyDescent="0.2">
      <c r="A90" s="49">
        <v>2</v>
      </c>
      <c r="B90" s="47" t="s">
        <v>33</v>
      </c>
      <c r="C90" s="41">
        <v>250</v>
      </c>
      <c r="D90" s="42">
        <f>1.9*C90/100</f>
        <v>4.75</v>
      </c>
      <c r="E90" s="42">
        <f>1.2*C90/100</f>
        <v>3</v>
      </c>
      <c r="F90" s="42">
        <f>2.75*C90/100</f>
        <v>6.875</v>
      </c>
      <c r="G90" s="42">
        <f>29.4*C90/100</f>
        <v>73.5</v>
      </c>
      <c r="H90" s="42">
        <f>0.04*C90/100</f>
        <v>0.1</v>
      </c>
      <c r="I90" s="42">
        <f>3.56*C90/100</f>
        <v>8.9</v>
      </c>
      <c r="J90" s="42">
        <f>0.01*C90/100</f>
        <v>2.5000000000000001E-2</v>
      </c>
      <c r="K90" s="42">
        <f>0.29*C90/100</f>
        <v>0.72499999999999998</v>
      </c>
      <c r="L90" s="48">
        <f>40.86*C90/100</f>
        <v>102.15</v>
      </c>
      <c r="M90" s="48">
        <f>66.16*C90/100</f>
        <v>165.4</v>
      </c>
      <c r="N90" s="48">
        <f>21.74*C90/100</f>
        <v>54.35</v>
      </c>
      <c r="O90" s="42">
        <f>0.53*C90/100</f>
        <v>1.325</v>
      </c>
      <c r="P90" s="49">
        <f>0.04*C90/100</f>
        <v>0.1</v>
      </c>
      <c r="Q90" s="49">
        <v>39.43</v>
      </c>
      <c r="R90" s="231" t="s">
        <v>242</v>
      </c>
      <c r="S90" s="233">
        <v>110315</v>
      </c>
    </row>
    <row r="91" spans="1:19" s="63" customFormat="1" x14ac:dyDescent="0.2">
      <c r="A91" s="49">
        <v>3</v>
      </c>
      <c r="B91" s="47" t="s">
        <v>20</v>
      </c>
      <c r="C91" s="41">
        <v>100</v>
      </c>
      <c r="D91" s="42">
        <f>10.7*C91/100</f>
        <v>10.7</v>
      </c>
      <c r="E91" s="42">
        <f>7.3*C91/100</f>
        <v>7.3</v>
      </c>
      <c r="F91" s="42">
        <f>5.9*C91/100</f>
        <v>5.9</v>
      </c>
      <c r="G91" s="42">
        <f>132.1*C91/100</f>
        <v>132.1</v>
      </c>
      <c r="H91" s="42">
        <f>0.15*C91/100</f>
        <v>0.15</v>
      </c>
      <c r="I91" s="42">
        <f>1.73*C91/100</f>
        <v>1.73</v>
      </c>
      <c r="J91" s="42">
        <f>0.03*C91/100</f>
        <v>0.03</v>
      </c>
      <c r="K91" s="42">
        <f>0.18*C91/100</f>
        <v>0.18</v>
      </c>
      <c r="L91" s="48">
        <f>25.88*C91/100</f>
        <v>25.88</v>
      </c>
      <c r="M91" s="48">
        <f>169.5*C91/100</f>
        <v>169.5</v>
      </c>
      <c r="N91" s="48">
        <f>25.52*C91/100</f>
        <v>25.52</v>
      </c>
      <c r="O91" s="42">
        <f>1.55*C91/100</f>
        <v>1.55</v>
      </c>
      <c r="P91" s="49">
        <f>0.17*C91/100</f>
        <v>0.17</v>
      </c>
      <c r="Q91" s="49">
        <v>3.68</v>
      </c>
      <c r="R91" s="233">
        <v>120505</v>
      </c>
      <c r="S91" s="236">
        <v>120506</v>
      </c>
    </row>
    <row r="92" spans="1:19" s="63" customFormat="1" x14ac:dyDescent="0.2">
      <c r="A92" s="49">
        <v>4</v>
      </c>
      <c r="B92" s="47" t="s">
        <v>113</v>
      </c>
      <c r="C92" s="41">
        <v>150</v>
      </c>
      <c r="D92" s="42">
        <f>3.22*C92/100</f>
        <v>4.830000000000001</v>
      </c>
      <c r="E92" s="42">
        <f>4.825*C92/100</f>
        <v>7.2374999999999998</v>
      </c>
      <c r="F92" s="42">
        <f>21.9*C92/100</f>
        <v>32.85</v>
      </c>
      <c r="G92" s="42">
        <f>140.5*C92/100</f>
        <v>210.75</v>
      </c>
      <c r="H92" s="42">
        <f>0.14*C92/100</f>
        <v>0.21000000000000005</v>
      </c>
      <c r="I92" s="42">
        <f>0*C92/100</f>
        <v>0</v>
      </c>
      <c r="J92" s="42">
        <f>0.02*C92/100</f>
        <v>0.03</v>
      </c>
      <c r="K92" s="42">
        <f>0.05*C92/100</f>
        <v>7.4999999999999997E-2</v>
      </c>
      <c r="L92" s="48">
        <f>12.38*C92/100</f>
        <v>18.570000000000004</v>
      </c>
      <c r="M92" s="48">
        <f>132.35*C92/100</f>
        <v>198.52500000000001</v>
      </c>
      <c r="N92" s="48">
        <f>88.86*C92/100</f>
        <v>133.29</v>
      </c>
      <c r="O92" s="42">
        <f>2.97*C92/100</f>
        <v>4.455000000000001</v>
      </c>
      <c r="P92" s="49">
        <f>0.075*C92/100</f>
        <v>0.1125</v>
      </c>
      <c r="Q92" s="49">
        <f>0.34*C92/100</f>
        <v>0.51000000000000012</v>
      </c>
      <c r="R92" s="233">
        <v>130309</v>
      </c>
      <c r="S92" s="233">
        <v>130310</v>
      </c>
    </row>
    <row r="93" spans="1:19" s="37" customFormat="1" ht="37.5" x14ac:dyDescent="0.2">
      <c r="A93" s="49">
        <v>5</v>
      </c>
      <c r="B93" s="47" t="s">
        <v>130</v>
      </c>
      <c r="C93" s="41">
        <v>200</v>
      </c>
      <c r="D93" s="42">
        <f>0.09*C93/100</f>
        <v>0.18</v>
      </c>
      <c r="E93" s="42">
        <f>0.04*C93/100</f>
        <v>0.08</v>
      </c>
      <c r="F93" s="42">
        <f>8.76*C93/100</f>
        <v>17.52</v>
      </c>
      <c r="G93" s="42">
        <f>26.45*C93/100</f>
        <v>52.9</v>
      </c>
      <c r="H93" s="42">
        <f>0.02*C93/100</f>
        <v>0.04</v>
      </c>
      <c r="I93" s="42">
        <f>52.8*C93/100</f>
        <v>105.6</v>
      </c>
      <c r="J93" s="42">
        <f>0*C93/100</f>
        <v>0</v>
      </c>
      <c r="K93" s="42">
        <v>0</v>
      </c>
      <c r="L93" s="48">
        <f>35.02*C93/100</f>
        <v>70.040000000000006</v>
      </c>
      <c r="M93" s="48">
        <v>0</v>
      </c>
      <c r="N93" s="48">
        <f>0.9*C93/100</f>
        <v>1.8</v>
      </c>
      <c r="O93" s="42">
        <f>1.07*C93/100</f>
        <v>2.14</v>
      </c>
      <c r="P93" s="62">
        <f>0.04*C93/100</f>
        <v>0.08</v>
      </c>
      <c r="Q93" s="62">
        <v>2.3199999999999998</v>
      </c>
      <c r="R93" s="233">
        <v>160205</v>
      </c>
      <c r="S93" s="233"/>
    </row>
    <row r="94" spans="1:19" s="63" customFormat="1" x14ac:dyDescent="0.2">
      <c r="A94" s="49">
        <v>6</v>
      </c>
      <c r="B94" s="47" t="s">
        <v>160</v>
      </c>
      <c r="C94" s="41">
        <v>40</v>
      </c>
      <c r="D94" s="42">
        <f>7.76*C94/100</f>
        <v>3.1039999999999996</v>
      </c>
      <c r="E94" s="42">
        <f>2.65*C94/100</f>
        <v>1.06</v>
      </c>
      <c r="F94" s="42">
        <f>53.25*C94/100</f>
        <v>21.3</v>
      </c>
      <c r="G94" s="42">
        <f>273*C94/100</f>
        <v>109.2</v>
      </c>
      <c r="H94" s="42">
        <f>0.34*C94/100</f>
        <v>0.13600000000000001</v>
      </c>
      <c r="I94" s="42">
        <f>0*C94/100</f>
        <v>0</v>
      </c>
      <c r="J94" s="42">
        <v>0</v>
      </c>
      <c r="K94" s="42">
        <f>1.5*C94/100</f>
        <v>0.6</v>
      </c>
      <c r="L94" s="48">
        <f>148.1*C94/100</f>
        <v>59.24</v>
      </c>
      <c r="M94" s="48">
        <f>0*C94/100</f>
        <v>0</v>
      </c>
      <c r="N94" s="48">
        <f>16*C94/100</f>
        <v>6.4</v>
      </c>
      <c r="O94" s="42">
        <f>2.4*C94/100</f>
        <v>0.96</v>
      </c>
      <c r="P94" s="56">
        <f>0.2*C94/100</f>
        <v>0.08</v>
      </c>
      <c r="Q94" s="56">
        <f>1.5*C94/100</f>
        <v>0.6</v>
      </c>
      <c r="R94" s="233">
        <v>200102</v>
      </c>
      <c r="S94" s="233"/>
    </row>
    <row r="95" spans="1:19" s="63" customFormat="1" x14ac:dyDescent="0.2">
      <c r="A95" s="49">
        <v>7</v>
      </c>
      <c r="B95" s="47" t="s">
        <v>159</v>
      </c>
      <c r="C95" s="41">
        <v>20</v>
      </c>
      <c r="D95" s="42">
        <f>5.86*C95/100</f>
        <v>1.1719999999999999</v>
      </c>
      <c r="E95" s="42">
        <f>0.94*C95/100</f>
        <v>0.18799999999999997</v>
      </c>
      <c r="F95" s="42">
        <f>44.4*C95/100</f>
        <v>8.8800000000000008</v>
      </c>
      <c r="G95" s="42">
        <f>189*C95/100</f>
        <v>37.799999999999997</v>
      </c>
      <c r="H95" s="42">
        <f>0.4*C95/100</f>
        <v>0.08</v>
      </c>
      <c r="I95" s="42">
        <f>0.03*C95/100</f>
        <v>6.0000000000000001E-3</v>
      </c>
      <c r="J95" s="42">
        <v>0</v>
      </c>
      <c r="K95" s="42">
        <f>1.7*C95/100</f>
        <v>0.34</v>
      </c>
      <c r="L95" s="48">
        <f>25.4*C95/100</f>
        <v>5.08</v>
      </c>
      <c r="M95" s="48">
        <f>105.53*C95/100</f>
        <v>21.105999999999998</v>
      </c>
      <c r="N95" s="48">
        <f>36.5*C95/100</f>
        <v>7.3</v>
      </c>
      <c r="O95" s="42">
        <f>2.45*C95/100</f>
        <v>0.49</v>
      </c>
      <c r="P95" s="56">
        <f>0.2*C95/100</f>
        <v>0.04</v>
      </c>
      <c r="Q95" s="56">
        <f>10*C95/100</f>
        <v>2</v>
      </c>
      <c r="R95" s="233">
        <v>200103</v>
      </c>
      <c r="S95" s="233"/>
    </row>
    <row r="96" spans="1:19" s="52" customFormat="1" x14ac:dyDescent="0.2">
      <c r="A96" s="49">
        <v>8</v>
      </c>
      <c r="B96" s="47" t="s">
        <v>139</v>
      </c>
      <c r="C96" s="59">
        <v>20</v>
      </c>
      <c r="D96" s="60">
        <f>0.8*C96/100</f>
        <v>0.16</v>
      </c>
      <c r="E96" s="60">
        <f>0.05*C96/100</f>
        <v>0.01</v>
      </c>
      <c r="F96" s="60">
        <f>80.3*C96/100</f>
        <v>16.059999999999999</v>
      </c>
      <c r="G96" s="42">
        <f>323.6*C96/100</f>
        <v>64.72</v>
      </c>
      <c r="H96" s="42">
        <f>0.34*C96/100</f>
        <v>6.8000000000000005E-2</v>
      </c>
      <c r="I96" s="42">
        <f>0*C96/100</f>
        <v>0</v>
      </c>
      <c r="J96" s="42">
        <v>2</v>
      </c>
      <c r="K96" s="42">
        <f>1.5*C96/100</f>
        <v>0.3</v>
      </c>
      <c r="L96" s="48">
        <f>148.1*C96/100</f>
        <v>29.62</v>
      </c>
      <c r="M96" s="48">
        <f>0*C96/100</f>
        <v>0</v>
      </c>
      <c r="N96" s="48">
        <f>16*C96/100</f>
        <v>3.2</v>
      </c>
      <c r="O96" s="42">
        <f>2.4*C96/100</f>
        <v>0.48</v>
      </c>
      <c r="P96" s="56">
        <f>0.2*C96/100</f>
        <v>0.04</v>
      </c>
      <c r="Q96" s="56">
        <v>0</v>
      </c>
      <c r="R96" s="233"/>
      <c r="S96" s="233"/>
    </row>
    <row r="97" spans="1:19" s="37" customFormat="1" x14ac:dyDescent="0.2">
      <c r="A97" s="49"/>
      <c r="B97" s="132" t="s">
        <v>4</v>
      </c>
      <c r="C97" s="41"/>
      <c r="D97" s="169">
        <f t="shared" ref="D97:Q97" si="14">SUM(D89:D96)</f>
        <v>25.34</v>
      </c>
      <c r="E97" s="169">
        <f t="shared" si="14"/>
        <v>26.123499999999996</v>
      </c>
      <c r="F97" s="169">
        <f t="shared" si="14"/>
        <v>110.801</v>
      </c>
      <c r="G97" s="169">
        <f t="shared" si="14"/>
        <v>753.38400000000001</v>
      </c>
      <c r="H97" s="169">
        <f t="shared" si="14"/>
        <v>0.80200000000000005</v>
      </c>
      <c r="I97" s="169">
        <f t="shared" si="14"/>
        <v>122.416</v>
      </c>
      <c r="J97" s="169">
        <f t="shared" si="14"/>
        <v>2.085</v>
      </c>
      <c r="K97" s="169">
        <f t="shared" si="14"/>
        <v>3.5160000000000005</v>
      </c>
      <c r="L97" s="152">
        <f t="shared" si="14"/>
        <v>324.19400000000002</v>
      </c>
      <c r="M97" s="152">
        <f t="shared" si="14"/>
        <v>577.42100000000005</v>
      </c>
      <c r="N97" s="152">
        <f t="shared" si="14"/>
        <v>239.76200000000003</v>
      </c>
      <c r="O97" s="169">
        <f t="shared" si="14"/>
        <v>11.730000000000002</v>
      </c>
      <c r="P97" s="125">
        <f t="shared" si="14"/>
        <v>0.66250000000000009</v>
      </c>
      <c r="Q97" s="125">
        <f t="shared" si="14"/>
        <v>49.67</v>
      </c>
      <c r="R97" s="233"/>
      <c r="S97" s="233"/>
    </row>
    <row r="98" spans="1:19" s="37" customFormat="1" ht="18" x14ac:dyDescent="0.2">
      <c r="A98" s="279" t="s">
        <v>35</v>
      </c>
      <c r="B98" s="280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</row>
    <row r="99" spans="1:19" s="63" customFormat="1" x14ac:dyDescent="0.2">
      <c r="A99" s="49">
        <v>1</v>
      </c>
      <c r="B99" s="47" t="s">
        <v>122</v>
      </c>
      <c r="C99" s="41">
        <v>200</v>
      </c>
      <c r="D99" s="94">
        <f>2.25*C99/100</f>
        <v>4.5</v>
      </c>
      <c r="E99" s="94">
        <f>2.24*C99/100</f>
        <v>4.4800000000000004</v>
      </c>
      <c r="F99" s="94">
        <f>10.25*C99/100</f>
        <v>20.5</v>
      </c>
      <c r="G99" s="94">
        <f>70.23*C99/100</f>
        <v>140.46</v>
      </c>
      <c r="H99" s="42">
        <f>0.13*C99/100</f>
        <v>0.26</v>
      </c>
      <c r="I99" s="42">
        <f>7*C99/100</f>
        <v>14</v>
      </c>
      <c r="J99" s="42">
        <f>0*C99/100</f>
        <v>0</v>
      </c>
      <c r="K99" s="42">
        <v>0</v>
      </c>
      <c r="L99" s="48">
        <f>1.55*C99/100</f>
        <v>3.1</v>
      </c>
      <c r="M99" s="48">
        <v>0</v>
      </c>
      <c r="N99" s="48">
        <f>0.3*C99/100</f>
        <v>0.6</v>
      </c>
      <c r="O99" s="42">
        <f>0.02*C99/100</f>
        <v>0.04</v>
      </c>
      <c r="P99" s="49">
        <v>0</v>
      </c>
      <c r="Q99" s="49">
        <v>3.58</v>
      </c>
      <c r="R99" s="233">
        <v>160104</v>
      </c>
      <c r="S99" s="233"/>
    </row>
    <row r="100" spans="1:19" s="63" customFormat="1" ht="37.5" customHeight="1" x14ac:dyDescent="0.2">
      <c r="A100" s="49">
        <v>2</v>
      </c>
      <c r="B100" s="47" t="s">
        <v>235</v>
      </c>
      <c r="C100" s="41">
        <v>50</v>
      </c>
      <c r="D100" s="166">
        <f>11.4*C100/100</f>
        <v>5.7</v>
      </c>
      <c r="E100" s="166">
        <f>6.2*C100/100</f>
        <v>3.1</v>
      </c>
      <c r="F100" s="166">
        <f>54.8*C100/100</f>
        <v>27.4</v>
      </c>
      <c r="G100" s="166">
        <f>320.6*C100/100</f>
        <v>160.30000000000001</v>
      </c>
      <c r="H100" s="42">
        <f>0.12*C100/100</f>
        <v>0.06</v>
      </c>
      <c r="I100" s="42">
        <f>0*C100/100</f>
        <v>0</v>
      </c>
      <c r="J100" s="42">
        <f>0.13*C100/100</f>
        <v>6.5000000000000002E-2</v>
      </c>
      <c r="K100" s="42">
        <f>5.55*C100/100</f>
        <v>2.7749999999999999</v>
      </c>
      <c r="L100" s="48">
        <f>44.66*C100/100</f>
        <v>22.33</v>
      </c>
      <c r="M100" s="48">
        <f>148.03*C100/100</f>
        <v>74.015000000000001</v>
      </c>
      <c r="N100" s="48">
        <f>21.6*C100/100</f>
        <v>10.8</v>
      </c>
      <c r="O100" s="42">
        <f>1.35*C100/100</f>
        <v>0.67500000000000004</v>
      </c>
      <c r="P100" s="49">
        <v>0.03</v>
      </c>
      <c r="Q100" s="49">
        <v>0.83</v>
      </c>
      <c r="R100" s="231" t="s">
        <v>243</v>
      </c>
      <c r="S100" s="233">
        <v>190106</v>
      </c>
    </row>
    <row r="101" spans="1:19" s="37" customFormat="1" x14ac:dyDescent="0.2">
      <c r="A101" s="49"/>
      <c r="B101" s="132" t="s">
        <v>4</v>
      </c>
      <c r="C101" s="120"/>
      <c r="D101" s="169">
        <f t="shared" ref="D101:Q101" si="15">SUM(D99:D100)</f>
        <v>10.199999999999999</v>
      </c>
      <c r="E101" s="169">
        <f t="shared" si="15"/>
        <v>7.58</v>
      </c>
      <c r="F101" s="169">
        <f t="shared" si="15"/>
        <v>47.9</v>
      </c>
      <c r="G101" s="169">
        <f t="shared" si="15"/>
        <v>300.76</v>
      </c>
      <c r="H101" s="169">
        <f t="shared" si="15"/>
        <v>0.32</v>
      </c>
      <c r="I101" s="169">
        <f t="shared" si="15"/>
        <v>14</v>
      </c>
      <c r="J101" s="169">
        <f t="shared" si="15"/>
        <v>6.5000000000000002E-2</v>
      </c>
      <c r="K101" s="169">
        <f t="shared" si="15"/>
        <v>2.7749999999999999</v>
      </c>
      <c r="L101" s="152">
        <f t="shared" si="15"/>
        <v>25.43</v>
      </c>
      <c r="M101" s="152">
        <f t="shared" si="15"/>
        <v>74.015000000000001</v>
      </c>
      <c r="N101" s="152">
        <f t="shared" si="15"/>
        <v>11.4</v>
      </c>
      <c r="O101" s="169">
        <f t="shared" si="15"/>
        <v>0.71500000000000008</v>
      </c>
      <c r="P101" s="125">
        <f t="shared" si="15"/>
        <v>0.03</v>
      </c>
      <c r="Q101" s="125">
        <f t="shared" si="15"/>
        <v>4.41</v>
      </c>
      <c r="R101" s="233"/>
      <c r="S101" s="233"/>
    </row>
    <row r="102" spans="1:19" s="37" customFormat="1" x14ac:dyDescent="0.2">
      <c r="A102" s="49"/>
      <c r="B102" s="132" t="s">
        <v>7</v>
      </c>
      <c r="C102" s="120"/>
      <c r="D102" s="169">
        <f t="shared" ref="D102:Q102" si="16">D87+D97+D101</f>
        <v>46.341999999999999</v>
      </c>
      <c r="E102" s="169">
        <f t="shared" si="16"/>
        <v>50.823499999999996</v>
      </c>
      <c r="F102" s="169">
        <f t="shared" si="16"/>
        <v>249.251</v>
      </c>
      <c r="G102" s="169">
        <f t="shared" si="16"/>
        <v>1618.2239999999999</v>
      </c>
      <c r="H102" s="169">
        <f t="shared" si="16"/>
        <v>1.3830000000000002</v>
      </c>
      <c r="I102" s="169">
        <f t="shared" si="16"/>
        <v>182.65100000000001</v>
      </c>
      <c r="J102" s="169">
        <f t="shared" si="16"/>
        <v>2.2349999999999999</v>
      </c>
      <c r="K102" s="169">
        <f t="shared" si="16"/>
        <v>7.7110000000000003</v>
      </c>
      <c r="L102" s="152">
        <f t="shared" si="16"/>
        <v>429.459</v>
      </c>
      <c r="M102" s="152">
        <f t="shared" si="16"/>
        <v>805.00599999999997</v>
      </c>
      <c r="N102" s="152">
        <f t="shared" si="16"/>
        <v>383.12700000000001</v>
      </c>
      <c r="O102" s="169">
        <f t="shared" si="16"/>
        <v>14.547200000000002</v>
      </c>
      <c r="P102" s="169">
        <f t="shared" si="16"/>
        <v>0.86750000000000016</v>
      </c>
      <c r="Q102" s="169">
        <f t="shared" si="16"/>
        <v>61.460000000000008</v>
      </c>
      <c r="R102" s="233"/>
      <c r="S102" s="233"/>
    </row>
    <row r="103" spans="1:19" s="37" customFormat="1" x14ac:dyDescent="0.2">
      <c r="A103" s="279" t="s">
        <v>45</v>
      </c>
      <c r="B103" s="279"/>
      <c r="C103" s="279"/>
      <c r="D103" s="279"/>
      <c r="E103" s="279"/>
      <c r="F103" s="279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</row>
    <row r="104" spans="1:19" s="37" customFormat="1" ht="18" x14ac:dyDescent="0.2">
      <c r="A104" s="279" t="s">
        <v>3</v>
      </c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</row>
    <row r="105" spans="1:19" s="63" customFormat="1" ht="37.5" x14ac:dyDescent="0.2">
      <c r="A105" s="49">
        <v>1</v>
      </c>
      <c r="B105" s="47" t="s">
        <v>227</v>
      </c>
      <c r="C105" s="41">
        <v>98</v>
      </c>
      <c r="D105" s="42">
        <f>10.4*C105/100</f>
        <v>10.192</v>
      </c>
      <c r="E105" s="42">
        <f>20.1*C105/100</f>
        <v>19.698</v>
      </c>
      <c r="F105" s="42">
        <f>0.8*C105/100</f>
        <v>0.78400000000000003</v>
      </c>
      <c r="G105" s="42">
        <f>226*C105/100</f>
        <v>221.48</v>
      </c>
      <c r="H105" s="42">
        <f>0.03*C105/100</f>
        <v>2.9399999999999999E-2</v>
      </c>
      <c r="I105" s="42">
        <f>0*C105/100</f>
        <v>0</v>
      </c>
      <c r="J105" s="42">
        <f>0*C105/100</f>
        <v>0</v>
      </c>
      <c r="K105" s="42">
        <f>0*C105/100</f>
        <v>0</v>
      </c>
      <c r="L105" s="48">
        <f>25*C105/100</f>
        <v>24.5</v>
      </c>
      <c r="M105" s="48">
        <f>0*C105/100</f>
        <v>0</v>
      </c>
      <c r="N105" s="48">
        <f>0*C105/100</f>
        <v>0</v>
      </c>
      <c r="O105" s="42">
        <f>1.8*C105/100</f>
        <v>1.764</v>
      </c>
      <c r="P105" s="49">
        <f>0.09*C105/100</f>
        <v>8.8200000000000001E-2</v>
      </c>
      <c r="Q105" s="49">
        <v>3.5</v>
      </c>
      <c r="R105" s="233">
        <v>120501</v>
      </c>
      <c r="S105" s="67"/>
    </row>
    <row r="106" spans="1:19" s="63" customFormat="1" x14ac:dyDescent="0.2">
      <c r="A106" s="49">
        <v>2</v>
      </c>
      <c r="B106" s="47" t="s">
        <v>194</v>
      </c>
      <c r="C106" s="41">
        <v>150</v>
      </c>
      <c r="D106" s="42">
        <f>2.96*C106/100</f>
        <v>4.4400000000000004</v>
      </c>
      <c r="E106" s="42">
        <f>2.67*C106/100</f>
        <v>4.0049999999999999</v>
      </c>
      <c r="F106" s="42">
        <f>5.48*C106/100</f>
        <v>8.2200000000000006</v>
      </c>
      <c r="G106" s="42">
        <f>59.24*C106/100</f>
        <v>88.86</v>
      </c>
      <c r="H106" s="42">
        <f>0.06*C106/100</f>
        <v>0.09</v>
      </c>
      <c r="I106" s="42">
        <f>10*C106/100</f>
        <v>15</v>
      </c>
      <c r="J106" s="42">
        <f>0.01*C106/100</f>
        <v>1.4999999999999999E-2</v>
      </c>
      <c r="K106" s="42">
        <f>0.23*C106/100</f>
        <v>0.34499999999999997</v>
      </c>
      <c r="L106" s="48">
        <f>20.36*C106/100</f>
        <v>30.54</v>
      </c>
      <c r="M106" s="48">
        <f>61.95*C106/100</f>
        <v>92.924999999999997</v>
      </c>
      <c r="N106" s="48">
        <f>20.58*C106/100</f>
        <v>30.869999999999994</v>
      </c>
      <c r="O106" s="42">
        <f>0.69*C106/100</f>
        <v>1.0349999999999999</v>
      </c>
      <c r="P106" s="49">
        <f>0.04*C106/100</f>
        <v>0.06</v>
      </c>
      <c r="Q106" s="49">
        <v>0</v>
      </c>
      <c r="R106" s="233">
        <v>130206</v>
      </c>
      <c r="S106" s="233"/>
    </row>
    <row r="107" spans="1:19" s="63" customFormat="1" x14ac:dyDescent="0.2">
      <c r="A107" s="49">
        <v>3</v>
      </c>
      <c r="B107" s="47" t="s">
        <v>31</v>
      </c>
      <c r="C107" s="59">
        <v>200</v>
      </c>
      <c r="D107" s="60">
        <v>0</v>
      </c>
      <c r="E107" s="60">
        <v>0</v>
      </c>
      <c r="F107" s="60">
        <f>4.99*C107/100</f>
        <v>9.98</v>
      </c>
      <c r="G107" s="42">
        <f>19.95*C107/100</f>
        <v>39.9</v>
      </c>
      <c r="H107" s="42">
        <v>0</v>
      </c>
      <c r="I107" s="42">
        <v>0</v>
      </c>
      <c r="J107" s="42">
        <v>0</v>
      </c>
      <c r="K107" s="42">
        <v>0</v>
      </c>
      <c r="L107" s="48">
        <f>8.15*C107/100</f>
        <v>16.3</v>
      </c>
      <c r="M107" s="48">
        <f>0.02*C107/100</f>
        <v>0.04</v>
      </c>
      <c r="N107" s="48">
        <f>1.79*C107/100</f>
        <v>3.58</v>
      </c>
      <c r="O107" s="42">
        <f>0.02*C107/100</f>
        <v>0.04</v>
      </c>
      <c r="P107" s="49">
        <f>0.01*C107/100</f>
        <v>0.02</v>
      </c>
      <c r="Q107" s="49">
        <v>0.48</v>
      </c>
      <c r="R107" s="233">
        <v>160105</v>
      </c>
      <c r="S107" s="233"/>
    </row>
    <row r="108" spans="1:19" s="63" customFormat="1" x14ac:dyDescent="0.2">
      <c r="A108" s="49">
        <v>4</v>
      </c>
      <c r="B108" s="47" t="s">
        <v>160</v>
      </c>
      <c r="C108" s="41">
        <v>20</v>
      </c>
      <c r="D108" s="42">
        <f>7.76*C108/100</f>
        <v>1.5519999999999998</v>
      </c>
      <c r="E108" s="42">
        <f>2.65*C108/100</f>
        <v>0.53</v>
      </c>
      <c r="F108" s="42">
        <f>53.25*C108/100</f>
        <v>10.65</v>
      </c>
      <c r="G108" s="42">
        <f>273*C108/100</f>
        <v>54.6</v>
      </c>
      <c r="H108" s="42">
        <f>0.34*C108/100</f>
        <v>6.8000000000000005E-2</v>
      </c>
      <c r="I108" s="42">
        <f>0*C108/100</f>
        <v>0</v>
      </c>
      <c r="J108" s="42">
        <v>0</v>
      </c>
      <c r="K108" s="42">
        <f>1.5*C108/100</f>
        <v>0.3</v>
      </c>
      <c r="L108" s="48">
        <f>148.1*C108/100</f>
        <v>29.62</v>
      </c>
      <c r="M108" s="48">
        <f>0*C108/100</f>
        <v>0</v>
      </c>
      <c r="N108" s="48">
        <f>16*C108/100</f>
        <v>3.2</v>
      </c>
      <c r="O108" s="42">
        <f>2.4*C108/100</f>
        <v>0.48</v>
      </c>
      <c r="P108" s="56">
        <f>0.2*C108/100</f>
        <v>0.04</v>
      </c>
      <c r="Q108" s="56">
        <f>1.5*C108/100</f>
        <v>0.3</v>
      </c>
      <c r="R108" s="233">
        <v>200102</v>
      </c>
      <c r="S108" s="233"/>
    </row>
    <row r="109" spans="1:19" s="46" customFormat="1" ht="18.75" customHeight="1" x14ac:dyDescent="0.25">
      <c r="A109" s="49">
        <v>5</v>
      </c>
      <c r="B109" s="47" t="s">
        <v>269</v>
      </c>
      <c r="C109" s="41">
        <v>150</v>
      </c>
      <c r="D109" s="42">
        <f>1.2*C109/100</f>
        <v>1.8</v>
      </c>
      <c r="E109" s="42">
        <f>0*C109/100</f>
        <v>0</v>
      </c>
      <c r="F109" s="42">
        <f>30.18*C109/100</f>
        <v>45.27</v>
      </c>
      <c r="G109" s="42">
        <f>125.5*C109/100</f>
        <v>188.25</v>
      </c>
      <c r="H109" s="42">
        <v>0</v>
      </c>
      <c r="I109" s="42">
        <f>0.8*C109/100</f>
        <v>1.2</v>
      </c>
      <c r="J109" s="42">
        <v>0</v>
      </c>
      <c r="K109" s="42">
        <v>0</v>
      </c>
      <c r="L109" s="48">
        <f>28.96*C109/100</f>
        <v>43.44</v>
      </c>
      <c r="M109" s="48">
        <f>9.26*C109/100</f>
        <v>13.89</v>
      </c>
      <c r="N109" s="48">
        <f>3.51*C109/100</f>
        <v>5.2649999999999997</v>
      </c>
      <c r="O109" s="42">
        <f>0.1*C109/100</f>
        <v>0.15</v>
      </c>
      <c r="P109" s="56">
        <v>0</v>
      </c>
      <c r="Q109" s="56">
        <v>0</v>
      </c>
      <c r="R109" s="235">
        <v>220103</v>
      </c>
      <c r="S109" s="235">
        <v>220104</v>
      </c>
    </row>
    <row r="110" spans="1:19" s="37" customFormat="1" x14ac:dyDescent="0.2">
      <c r="A110" s="49"/>
      <c r="B110" s="132" t="s">
        <v>4</v>
      </c>
      <c r="C110" s="120"/>
      <c r="D110" s="169">
        <f t="shared" ref="D110:Q110" si="17">SUM(D105:D109)</f>
        <v>17.984000000000002</v>
      </c>
      <c r="E110" s="169">
        <f t="shared" si="17"/>
        <v>24.233000000000001</v>
      </c>
      <c r="F110" s="169">
        <f t="shared" si="17"/>
        <v>74.903999999999996</v>
      </c>
      <c r="G110" s="169">
        <f t="shared" si="17"/>
        <v>593.08999999999992</v>
      </c>
      <c r="H110" s="169">
        <f t="shared" si="17"/>
        <v>0.18740000000000001</v>
      </c>
      <c r="I110" s="169">
        <f t="shared" si="17"/>
        <v>16.2</v>
      </c>
      <c r="J110" s="169">
        <f t="shared" si="17"/>
        <v>1.4999999999999999E-2</v>
      </c>
      <c r="K110" s="169">
        <f t="shared" si="17"/>
        <v>0.64500000000000002</v>
      </c>
      <c r="L110" s="152">
        <f t="shared" si="17"/>
        <v>144.4</v>
      </c>
      <c r="M110" s="152">
        <f t="shared" si="17"/>
        <v>106.855</v>
      </c>
      <c r="N110" s="152">
        <f t="shared" si="17"/>
        <v>42.914999999999999</v>
      </c>
      <c r="O110" s="169">
        <f t="shared" si="17"/>
        <v>3.4689999999999999</v>
      </c>
      <c r="P110" s="125">
        <f t="shared" si="17"/>
        <v>0.2082</v>
      </c>
      <c r="Q110" s="125">
        <f t="shared" si="17"/>
        <v>4.28</v>
      </c>
      <c r="R110" s="233"/>
      <c r="S110" s="233"/>
    </row>
    <row r="111" spans="1:19" s="37" customFormat="1" ht="18" x14ac:dyDescent="0.2">
      <c r="A111" s="279" t="s">
        <v>5</v>
      </c>
      <c r="B111" s="280"/>
      <c r="C111" s="280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</row>
    <row r="112" spans="1:19" s="63" customFormat="1" x14ac:dyDescent="0.2">
      <c r="A112" s="49">
        <v>1</v>
      </c>
      <c r="B112" s="47" t="s">
        <v>65</v>
      </c>
      <c r="C112" s="41">
        <v>60</v>
      </c>
      <c r="D112" s="42">
        <f>0.95*C112/100</f>
        <v>0.56999999999999995</v>
      </c>
      <c r="E112" s="42">
        <f>15.15*C112/100</f>
        <v>9.09</v>
      </c>
      <c r="F112" s="42">
        <f>3.19*C112/100</f>
        <v>1.9140000000000001</v>
      </c>
      <c r="G112" s="42">
        <f>155.01*C112/100</f>
        <v>93.005999999999986</v>
      </c>
      <c r="H112" s="42">
        <f>0.05*$C112/100</f>
        <v>0.03</v>
      </c>
      <c r="I112" s="42">
        <f>19.58*$C112/100</f>
        <v>11.747999999999999</v>
      </c>
      <c r="J112" s="42">
        <f>0*$C112/100</f>
        <v>0</v>
      </c>
      <c r="K112" s="42">
        <f>3.18*$C112/100</f>
        <v>1.9080000000000001</v>
      </c>
      <c r="L112" s="48">
        <f>17.06*$C112/100</f>
        <v>10.235999999999999</v>
      </c>
      <c r="M112" s="48">
        <f>22.4*$C112/100</f>
        <v>13.44</v>
      </c>
      <c r="N112" s="48">
        <f>16.88*$C112/100</f>
        <v>10.128</v>
      </c>
      <c r="O112" s="42">
        <f>0.77*$C112/100</f>
        <v>0.46200000000000002</v>
      </c>
      <c r="P112" s="49">
        <f>0.04*C112/100</f>
        <v>2.4E-2</v>
      </c>
      <c r="Q112" s="49">
        <v>3.32</v>
      </c>
      <c r="R112" s="233">
        <v>100506</v>
      </c>
      <c r="S112" s="233"/>
    </row>
    <row r="113" spans="1:19" s="63" customFormat="1" x14ac:dyDescent="0.2">
      <c r="A113" s="49">
        <v>2</v>
      </c>
      <c r="B113" s="47" t="s">
        <v>12</v>
      </c>
      <c r="C113" s="41">
        <v>250</v>
      </c>
      <c r="D113" s="42">
        <f>0.7*C113/100</f>
        <v>1.75</v>
      </c>
      <c r="E113" s="42">
        <f>1.7*C113/100</f>
        <v>4.25</v>
      </c>
      <c r="F113" s="42">
        <f>3.8*C113/100</f>
        <v>9.5</v>
      </c>
      <c r="G113" s="42">
        <f>33.3*C113/100</f>
        <v>83.25</v>
      </c>
      <c r="H113" s="42">
        <f>C113*0.03/100</f>
        <v>7.4999999999999997E-2</v>
      </c>
      <c r="I113" s="42">
        <f>2.86*C113/100</f>
        <v>7.15</v>
      </c>
      <c r="J113" s="42">
        <f>0.01*C113/100</f>
        <v>2.5000000000000001E-2</v>
      </c>
      <c r="K113" s="42">
        <f>0.12*C113/100</f>
        <v>0.3</v>
      </c>
      <c r="L113" s="48">
        <f>C113*14.36/100</f>
        <v>35.9</v>
      </c>
      <c r="M113" s="48">
        <f>C113*29.47/100</f>
        <v>73.674999999999997</v>
      </c>
      <c r="N113" s="48">
        <f>C113*11.09/100</f>
        <v>27.725000000000001</v>
      </c>
      <c r="O113" s="42">
        <f>C113*0.37/100</f>
        <v>0.92500000000000004</v>
      </c>
      <c r="P113" s="49">
        <f>0.02*C113/100</f>
        <v>0.05</v>
      </c>
      <c r="Q113" s="49">
        <v>4</v>
      </c>
      <c r="R113" s="233">
        <v>110201</v>
      </c>
      <c r="S113" s="233">
        <v>110202</v>
      </c>
    </row>
    <row r="114" spans="1:19" s="63" customFormat="1" x14ac:dyDescent="0.2">
      <c r="A114" s="49">
        <v>3</v>
      </c>
      <c r="B114" s="47" t="s">
        <v>216</v>
      </c>
      <c r="C114" s="41">
        <v>80</v>
      </c>
      <c r="D114" s="42">
        <f>8.7*C114/100</f>
        <v>6.96</v>
      </c>
      <c r="E114" s="42">
        <f>5.5*C114/100</f>
        <v>4.4000000000000004</v>
      </c>
      <c r="F114" s="42">
        <f>18.5*C114/100</f>
        <v>14.8</v>
      </c>
      <c r="G114" s="42">
        <f>158.3*C114/100</f>
        <v>126.64</v>
      </c>
      <c r="H114" s="42">
        <f>0.05*C114/100</f>
        <v>0.04</v>
      </c>
      <c r="I114" s="42">
        <f>0*C114/100</f>
        <v>0</v>
      </c>
      <c r="J114" s="42">
        <f>0.04*C114/100</f>
        <v>3.2000000000000001E-2</v>
      </c>
      <c r="K114" s="42">
        <f>0.11*C114/100</f>
        <v>8.8000000000000009E-2</v>
      </c>
      <c r="L114" s="48">
        <f>0.59*C114/100</f>
        <v>0.47199999999999998</v>
      </c>
      <c r="M114" s="48">
        <f>0.91*C114/100</f>
        <v>0.72799999999999998</v>
      </c>
      <c r="N114" s="48">
        <v>0</v>
      </c>
      <c r="O114" s="42">
        <f>0.01*C114/100</f>
        <v>8.0000000000000002E-3</v>
      </c>
      <c r="P114" s="49">
        <f>0.14*C114/100</f>
        <v>0.11200000000000002</v>
      </c>
      <c r="Q114" s="49">
        <v>1.1000000000000001</v>
      </c>
      <c r="R114" s="233">
        <v>120521</v>
      </c>
      <c r="S114" s="231">
        <v>120522</v>
      </c>
    </row>
    <row r="115" spans="1:19" s="63" customFormat="1" x14ac:dyDescent="0.2">
      <c r="A115" s="49">
        <v>4</v>
      </c>
      <c r="B115" s="47" t="s">
        <v>13</v>
      </c>
      <c r="C115" s="41">
        <v>30</v>
      </c>
      <c r="D115" s="60">
        <f>0.9*C115/100</f>
        <v>0.27</v>
      </c>
      <c r="E115" s="60">
        <f>4.5*C115/100</f>
        <v>1.35</v>
      </c>
      <c r="F115" s="60">
        <f>7.4*C115/100</f>
        <v>2.2200000000000002</v>
      </c>
      <c r="G115" s="60">
        <f>73.7*C115/100</f>
        <v>22.11</v>
      </c>
      <c r="H115" s="42">
        <v>8.9999999999999993E-3</v>
      </c>
      <c r="I115" s="42">
        <v>0.15</v>
      </c>
      <c r="J115" s="42">
        <v>6.0000000000000001E-3</v>
      </c>
      <c r="K115" s="42">
        <v>0.03</v>
      </c>
      <c r="L115" s="48">
        <v>46.05</v>
      </c>
      <c r="M115" s="48">
        <v>32.85</v>
      </c>
      <c r="N115" s="48">
        <v>5.0999999999999996</v>
      </c>
      <c r="O115" s="42">
        <v>0.03</v>
      </c>
      <c r="P115" s="49">
        <v>0.03</v>
      </c>
      <c r="Q115" s="49">
        <v>1.35</v>
      </c>
      <c r="R115" s="233">
        <v>140104</v>
      </c>
      <c r="S115" s="233">
        <v>140105</v>
      </c>
    </row>
    <row r="116" spans="1:19" s="64" customFormat="1" ht="18.75" customHeight="1" x14ac:dyDescent="0.25">
      <c r="A116" s="49">
        <v>5</v>
      </c>
      <c r="B116" s="47" t="s">
        <v>114</v>
      </c>
      <c r="C116" s="41">
        <v>150</v>
      </c>
      <c r="D116" s="42">
        <f>3.1*C116/100</f>
        <v>4.6500000000000004</v>
      </c>
      <c r="E116" s="42">
        <f>2.8*C116/100</f>
        <v>4.2</v>
      </c>
      <c r="F116" s="42">
        <f>30.3*C116/100</f>
        <v>45.45</v>
      </c>
      <c r="G116" s="42">
        <f>166.8*C116/100</f>
        <v>250.2</v>
      </c>
      <c r="H116" s="42">
        <f>0.04*C116/100</f>
        <v>0.06</v>
      </c>
      <c r="I116" s="42">
        <f>0*C116/100</f>
        <v>0</v>
      </c>
      <c r="J116" s="42">
        <f>0.02*C116/100</f>
        <v>0.03</v>
      </c>
      <c r="K116" s="42">
        <f>0.05*C116/100</f>
        <v>7.4999999999999997E-2</v>
      </c>
      <c r="L116" s="48">
        <f>3.95*C116/100</f>
        <v>5.9249999999999998</v>
      </c>
      <c r="M116" s="48">
        <f>23.34*C116/100</f>
        <v>35.01</v>
      </c>
      <c r="N116" s="48">
        <f>5.12*C116/100</f>
        <v>7.68</v>
      </c>
      <c r="O116" s="42">
        <f>0.5*C116/100</f>
        <v>0.75</v>
      </c>
      <c r="P116" s="49">
        <f>0.01*C116/100</f>
        <v>1.4999999999999999E-2</v>
      </c>
      <c r="Q116" s="49">
        <f>1.5*C116/100</f>
        <v>2.25</v>
      </c>
      <c r="R116" s="235">
        <v>130401</v>
      </c>
      <c r="S116" s="235">
        <v>130402</v>
      </c>
    </row>
    <row r="117" spans="1:19" s="37" customFormat="1" x14ac:dyDescent="0.2">
      <c r="A117" s="49">
        <v>6</v>
      </c>
      <c r="B117" s="47" t="s">
        <v>131</v>
      </c>
      <c r="C117" s="41">
        <v>200</v>
      </c>
      <c r="D117" s="42">
        <f>0.62*C117/100</f>
        <v>1.24</v>
      </c>
      <c r="E117" s="42">
        <f>0.04*C117/100</f>
        <v>0.08</v>
      </c>
      <c r="F117" s="42">
        <f>12.06*C117/100</f>
        <v>24.12</v>
      </c>
      <c r="G117" s="42">
        <f>41.81*C117/100</f>
        <v>83.62</v>
      </c>
      <c r="H117" s="42">
        <f>0.01*C117/100</f>
        <v>0.02</v>
      </c>
      <c r="I117" s="42">
        <f>0.48*C117/100</f>
        <v>0.96</v>
      </c>
      <c r="J117" s="42">
        <f>0*C117/100</f>
        <v>0</v>
      </c>
      <c r="K117" s="42">
        <v>0</v>
      </c>
      <c r="L117" s="48">
        <f>23.8*C117/100</f>
        <v>47.6</v>
      </c>
      <c r="M117" s="48">
        <f>17.52*C117/100</f>
        <v>35.04</v>
      </c>
      <c r="N117" s="48">
        <f>13.6*C117/100</f>
        <v>27.2</v>
      </c>
      <c r="O117" s="42">
        <f>0.39*C117/100</f>
        <v>0.78</v>
      </c>
      <c r="P117" s="62">
        <f>0.02*C117/100</f>
        <v>0.04</v>
      </c>
      <c r="Q117" s="62">
        <v>2.3199999999999998</v>
      </c>
      <c r="R117" s="233">
        <v>160210</v>
      </c>
      <c r="S117" s="233"/>
    </row>
    <row r="118" spans="1:19" s="63" customFormat="1" x14ac:dyDescent="0.2">
      <c r="A118" s="49">
        <v>7</v>
      </c>
      <c r="B118" s="47" t="s">
        <v>160</v>
      </c>
      <c r="C118" s="41">
        <v>40</v>
      </c>
      <c r="D118" s="42">
        <f>7.76*C118/100</f>
        <v>3.1039999999999996</v>
      </c>
      <c r="E118" s="42">
        <f>2.65*C118/100</f>
        <v>1.06</v>
      </c>
      <c r="F118" s="42">
        <f>53.25*C118/100</f>
        <v>21.3</v>
      </c>
      <c r="G118" s="42">
        <f>273*C118/100</f>
        <v>109.2</v>
      </c>
      <c r="H118" s="42">
        <f>0.34*C118/100</f>
        <v>0.13600000000000001</v>
      </c>
      <c r="I118" s="42">
        <f>0*C118/100</f>
        <v>0</v>
      </c>
      <c r="J118" s="42">
        <v>0</v>
      </c>
      <c r="K118" s="42">
        <f>1.5*C118/100</f>
        <v>0.6</v>
      </c>
      <c r="L118" s="48">
        <f>148.1*C118/100</f>
        <v>59.24</v>
      </c>
      <c r="M118" s="48">
        <f>0*C118/100</f>
        <v>0</v>
      </c>
      <c r="N118" s="48">
        <f>16*C118/100</f>
        <v>6.4</v>
      </c>
      <c r="O118" s="42">
        <f>2.4*C118/100</f>
        <v>0.96</v>
      </c>
      <c r="P118" s="56">
        <f>0.2*C118/100</f>
        <v>0.08</v>
      </c>
      <c r="Q118" s="56">
        <f>1.5*C118/100</f>
        <v>0.6</v>
      </c>
      <c r="R118" s="233">
        <v>200102</v>
      </c>
      <c r="S118" s="233"/>
    </row>
    <row r="119" spans="1:19" s="63" customFormat="1" x14ac:dyDescent="0.2">
      <c r="A119" s="49">
        <v>8</v>
      </c>
      <c r="B119" s="47" t="s">
        <v>159</v>
      </c>
      <c r="C119" s="41">
        <v>20</v>
      </c>
      <c r="D119" s="42">
        <f>5.86*C119/100</f>
        <v>1.1719999999999999</v>
      </c>
      <c r="E119" s="42">
        <f>0.94*C119/100</f>
        <v>0.18799999999999997</v>
      </c>
      <c r="F119" s="42">
        <f>44.4*C119/100</f>
        <v>8.8800000000000008</v>
      </c>
      <c r="G119" s="42">
        <f>189*C119/100</f>
        <v>37.799999999999997</v>
      </c>
      <c r="H119" s="42">
        <f>0.4*C119/100</f>
        <v>0.08</v>
      </c>
      <c r="I119" s="42">
        <f>0.03*C119/100</f>
        <v>6.0000000000000001E-3</v>
      </c>
      <c r="J119" s="42">
        <v>0</v>
      </c>
      <c r="K119" s="42">
        <f>1.7*C119/100</f>
        <v>0.34</v>
      </c>
      <c r="L119" s="48">
        <f>25.4*C119/100</f>
        <v>5.08</v>
      </c>
      <c r="M119" s="48">
        <f>105.53*C119/100</f>
        <v>21.105999999999998</v>
      </c>
      <c r="N119" s="48">
        <f>36.5*C119/100</f>
        <v>7.3</v>
      </c>
      <c r="O119" s="42">
        <f>2.45*C119/100</f>
        <v>0.49</v>
      </c>
      <c r="P119" s="56">
        <f>0.2*C119/100</f>
        <v>0.04</v>
      </c>
      <c r="Q119" s="56">
        <f>10*C119/100</f>
        <v>2</v>
      </c>
      <c r="R119" s="233">
        <v>200103</v>
      </c>
      <c r="S119" s="233"/>
    </row>
    <row r="120" spans="1:19" s="37" customFormat="1" x14ac:dyDescent="0.2">
      <c r="A120" s="49"/>
      <c r="B120" s="132" t="s">
        <v>4</v>
      </c>
      <c r="C120" s="120"/>
      <c r="D120" s="168">
        <f t="shared" ref="D120:Q120" si="18">SUM(D112:D119)</f>
        <v>19.716000000000001</v>
      </c>
      <c r="E120" s="168">
        <f t="shared" si="18"/>
        <v>24.617999999999999</v>
      </c>
      <c r="F120" s="168">
        <f t="shared" si="18"/>
        <v>128.184</v>
      </c>
      <c r="G120" s="168">
        <f t="shared" si="18"/>
        <v>805.82599999999991</v>
      </c>
      <c r="H120" s="168">
        <f t="shared" si="18"/>
        <v>0.45</v>
      </c>
      <c r="I120" s="168">
        <f t="shared" si="18"/>
        <v>20.013999999999999</v>
      </c>
      <c r="J120" s="168">
        <f t="shared" si="18"/>
        <v>9.2999999999999999E-2</v>
      </c>
      <c r="K120" s="168">
        <f t="shared" si="18"/>
        <v>3.3410000000000002</v>
      </c>
      <c r="L120" s="167">
        <f t="shared" si="18"/>
        <v>210.50300000000001</v>
      </c>
      <c r="M120" s="167">
        <f t="shared" si="18"/>
        <v>211.84899999999996</v>
      </c>
      <c r="N120" s="167">
        <f t="shared" si="18"/>
        <v>91.533000000000001</v>
      </c>
      <c r="O120" s="168">
        <f t="shared" si="18"/>
        <v>4.4050000000000002</v>
      </c>
      <c r="P120" s="125">
        <f t="shared" si="18"/>
        <v>0.39100000000000001</v>
      </c>
      <c r="Q120" s="125">
        <f t="shared" si="18"/>
        <v>16.939999999999998</v>
      </c>
      <c r="R120" s="233"/>
      <c r="S120" s="233"/>
    </row>
    <row r="121" spans="1:19" s="37" customFormat="1" ht="18" x14ac:dyDescent="0.2">
      <c r="A121" s="279" t="s">
        <v>35</v>
      </c>
      <c r="B121" s="280"/>
      <c r="C121" s="280"/>
      <c r="D121" s="280"/>
      <c r="E121" s="280"/>
      <c r="F121" s="280"/>
      <c r="G121" s="280"/>
      <c r="H121" s="280"/>
      <c r="I121" s="280"/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</row>
    <row r="122" spans="1:19" s="63" customFormat="1" x14ac:dyDescent="0.2">
      <c r="A122" s="49">
        <v>1</v>
      </c>
      <c r="B122" s="47" t="s">
        <v>163</v>
      </c>
      <c r="C122" s="41">
        <v>200</v>
      </c>
      <c r="D122" s="60">
        <f>3.05*C122/100</f>
        <v>6.1</v>
      </c>
      <c r="E122" s="60">
        <f>3.11*C122/100</f>
        <v>6.22</v>
      </c>
      <c r="F122" s="60">
        <f>9.83*C122/100</f>
        <v>19.66</v>
      </c>
      <c r="G122" s="60">
        <f>79.2*C122/100</f>
        <v>158.4</v>
      </c>
      <c r="H122" s="42">
        <f>0.26*C122/100</f>
        <v>0.52</v>
      </c>
      <c r="I122" s="42">
        <f>14.61*C122/100</f>
        <v>29.22</v>
      </c>
      <c r="J122" s="42">
        <f>0.4*C122/100</f>
        <v>0.8</v>
      </c>
      <c r="K122" s="42">
        <v>0</v>
      </c>
      <c r="L122" s="48">
        <f>24.96*C122/100</f>
        <v>49.92</v>
      </c>
      <c r="M122" s="48">
        <v>0</v>
      </c>
      <c r="N122" s="48">
        <f>0.1*C122/100</f>
        <v>0.2</v>
      </c>
      <c r="O122" s="42">
        <v>0</v>
      </c>
      <c r="P122" s="49">
        <v>0.14000000000000001</v>
      </c>
      <c r="Q122" s="49">
        <v>7.68</v>
      </c>
      <c r="R122" s="233">
        <v>160101</v>
      </c>
      <c r="S122" s="233">
        <v>160102</v>
      </c>
    </row>
    <row r="123" spans="1:19" s="63" customFormat="1" ht="31.5" x14ac:dyDescent="0.2">
      <c r="A123" s="49">
        <v>2</v>
      </c>
      <c r="B123" s="47" t="s">
        <v>32</v>
      </c>
      <c r="C123" s="41">
        <v>50</v>
      </c>
      <c r="D123" s="60">
        <f>13*C123/100</f>
        <v>6.5</v>
      </c>
      <c r="E123" s="60">
        <f>7.4*C123/100</f>
        <v>3.7</v>
      </c>
      <c r="F123" s="60">
        <f>45.8*C123/100</f>
        <v>22.9</v>
      </c>
      <c r="G123" s="60">
        <f>301.8*C123/100</f>
        <v>150.9</v>
      </c>
      <c r="H123" s="42">
        <f>C123*0.15/100</f>
        <v>7.4999999999999997E-2</v>
      </c>
      <c r="I123" s="42">
        <f>C123*2.46/100</f>
        <v>1.23</v>
      </c>
      <c r="J123" s="42">
        <f>C123*0.04/100</f>
        <v>0.02</v>
      </c>
      <c r="K123" s="42">
        <f>C123*2.76/100</f>
        <v>1.38</v>
      </c>
      <c r="L123" s="48">
        <f>C123*89.34/100</f>
        <v>44.67</v>
      </c>
      <c r="M123" s="48">
        <f>C123*134.93/100</f>
        <v>67.465000000000003</v>
      </c>
      <c r="N123" s="48">
        <f>C123*19.22/100</f>
        <v>9.61</v>
      </c>
      <c r="O123" s="42">
        <f>C123*0.83/100</f>
        <v>0.41499999999999998</v>
      </c>
      <c r="P123" s="49">
        <f>0.15*C123/100</f>
        <v>7.4999999999999997E-2</v>
      </c>
      <c r="Q123" s="49">
        <v>0.43</v>
      </c>
      <c r="R123" s="231" t="s">
        <v>254</v>
      </c>
      <c r="S123" s="233">
        <v>190306</v>
      </c>
    </row>
    <row r="124" spans="1:19" s="37" customFormat="1" x14ac:dyDescent="0.2">
      <c r="A124" s="49"/>
      <c r="B124" s="218" t="s">
        <v>4</v>
      </c>
      <c r="C124" s="120"/>
      <c r="D124" s="169">
        <f t="shared" ref="D124:Q124" si="19">SUM(D122:D123)</f>
        <v>12.6</v>
      </c>
      <c r="E124" s="169">
        <f t="shared" si="19"/>
        <v>9.92</v>
      </c>
      <c r="F124" s="169">
        <f t="shared" si="19"/>
        <v>42.56</v>
      </c>
      <c r="G124" s="169">
        <f t="shared" si="19"/>
        <v>309.3</v>
      </c>
      <c r="H124" s="169">
        <f t="shared" si="19"/>
        <v>0.59499999999999997</v>
      </c>
      <c r="I124" s="169">
        <f t="shared" si="19"/>
        <v>30.45</v>
      </c>
      <c r="J124" s="169">
        <f t="shared" si="19"/>
        <v>0.82000000000000006</v>
      </c>
      <c r="K124" s="169">
        <f t="shared" si="19"/>
        <v>1.38</v>
      </c>
      <c r="L124" s="152">
        <f t="shared" si="19"/>
        <v>94.59</v>
      </c>
      <c r="M124" s="152">
        <f t="shared" si="19"/>
        <v>67.465000000000003</v>
      </c>
      <c r="N124" s="152">
        <f t="shared" si="19"/>
        <v>9.8099999999999987</v>
      </c>
      <c r="O124" s="169">
        <f t="shared" si="19"/>
        <v>0.41499999999999998</v>
      </c>
      <c r="P124" s="125">
        <f t="shared" si="19"/>
        <v>0.21500000000000002</v>
      </c>
      <c r="Q124" s="125">
        <f t="shared" si="19"/>
        <v>8.11</v>
      </c>
      <c r="R124" s="233"/>
      <c r="S124" s="233"/>
    </row>
    <row r="125" spans="1:19" s="37" customFormat="1" x14ac:dyDescent="0.2">
      <c r="A125" s="49"/>
      <c r="B125" s="218" t="s">
        <v>7</v>
      </c>
      <c r="C125" s="120"/>
      <c r="D125" s="168">
        <f t="shared" ref="D125:Q125" si="20">D110+D120+D124</f>
        <v>50.300000000000004</v>
      </c>
      <c r="E125" s="168">
        <f t="shared" si="20"/>
        <v>58.771000000000001</v>
      </c>
      <c r="F125" s="168">
        <f t="shared" si="20"/>
        <v>245.648</v>
      </c>
      <c r="G125" s="168">
        <f t="shared" si="20"/>
        <v>1708.2159999999997</v>
      </c>
      <c r="H125" s="168">
        <f t="shared" si="20"/>
        <v>1.2323999999999999</v>
      </c>
      <c r="I125" s="168">
        <f t="shared" si="20"/>
        <v>66.664000000000001</v>
      </c>
      <c r="J125" s="168">
        <f t="shared" si="20"/>
        <v>0.92800000000000005</v>
      </c>
      <c r="K125" s="168">
        <f t="shared" si="20"/>
        <v>5.3659999999999997</v>
      </c>
      <c r="L125" s="167">
        <f t="shared" si="20"/>
        <v>449.49300000000005</v>
      </c>
      <c r="M125" s="167">
        <f t="shared" si="20"/>
        <v>386.16899999999998</v>
      </c>
      <c r="N125" s="167">
        <f t="shared" si="20"/>
        <v>144.25800000000001</v>
      </c>
      <c r="O125" s="168">
        <f t="shared" si="20"/>
        <v>8.2889999999999997</v>
      </c>
      <c r="P125" s="168">
        <f t="shared" si="20"/>
        <v>0.81420000000000003</v>
      </c>
      <c r="Q125" s="168">
        <f t="shared" si="20"/>
        <v>29.33</v>
      </c>
      <c r="R125" s="233"/>
      <c r="S125" s="233"/>
    </row>
    <row r="126" spans="1:19" s="37" customFormat="1" x14ac:dyDescent="0.2">
      <c r="A126" s="279" t="s">
        <v>46</v>
      </c>
      <c r="B126" s="279"/>
      <c r="C126" s="279"/>
      <c r="D126" s="279"/>
      <c r="E126" s="279"/>
      <c r="F126" s="279"/>
      <c r="G126" s="280"/>
      <c r="H126" s="280"/>
      <c r="I126" s="280"/>
      <c r="J126" s="280"/>
      <c r="K126" s="280"/>
      <c r="L126" s="280"/>
      <c r="M126" s="280"/>
      <c r="N126" s="280"/>
      <c r="O126" s="280"/>
      <c r="P126" s="280"/>
      <c r="Q126" s="280"/>
      <c r="R126" s="280"/>
      <c r="S126" s="280"/>
    </row>
    <row r="127" spans="1:19" s="37" customFormat="1" ht="18" x14ac:dyDescent="0.2">
      <c r="A127" s="279" t="s">
        <v>3</v>
      </c>
      <c r="B127" s="280"/>
      <c r="C127" s="280"/>
      <c r="D127" s="280"/>
      <c r="E127" s="280"/>
      <c r="F127" s="280"/>
      <c r="G127" s="280"/>
      <c r="H127" s="280"/>
      <c r="I127" s="2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</row>
    <row r="128" spans="1:19" s="64" customFormat="1" ht="19.5" customHeight="1" x14ac:dyDescent="0.3">
      <c r="A128" s="49">
        <v>1</v>
      </c>
      <c r="B128" s="47" t="s">
        <v>225</v>
      </c>
      <c r="C128" s="41">
        <v>150</v>
      </c>
      <c r="D128" s="116">
        <f>15.4*C128/100</f>
        <v>23.1</v>
      </c>
      <c r="E128" s="116">
        <f>4.1*C128/100</f>
        <v>6.15</v>
      </c>
      <c r="F128" s="116">
        <f>16.2*C128/100</f>
        <v>24.3</v>
      </c>
      <c r="G128" s="116">
        <f>142.8*C128/100</f>
        <v>214.2</v>
      </c>
      <c r="H128" s="42">
        <f>C128*0.05/100</f>
        <v>7.4999999999999997E-2</v>
      </c>
      <c r="I128" s="42">
        <f>0.21*C128/100</f>
        <v>0.315</v>
      </c>
      <c r="J128" s="42">
        <f>C128*0.05/100</f>
        <v>7.4999999999999997E-2</v>
      </c>
      <c r="K128" s="42">
        <f>C128*0.35/100</f>
        <v>0.52500000000000002</v>
      </c>
      <c r="L128" s="42">
        <f>C128*129.32/100</f>
        <v>193.98</v>
      </c>
      <c r="M128" s="42">
        <f>C128*183.98/100</f>
        <v>275.97000000000003</v>
      </c>
      <c r="N128" s="42">
        <f>C128*21.41/100</f>
        <v>32.115000000000002</v>
      </c>
      <c r="O128" s="42">
        <f>C128*0.62/100</f>
        <v>0.93</v>
      </c>
      <c r="P128" s="128">
        <f>0.22*C128/100</f>
        <v>0.33</v>
      </c>
      <c r="Q128" s="128">
        <f>1.8*C128/100</f>
        <v>2.7</v>
      </c>
      <c r="R128" s="232">
        <v>120307</v>
      </c>
      <c r="S128" s="235">
        <v>120308</v>
      </c>
    </row>
    <row r="129" spans="1:19" s="64" customFormat="1" ht="19.5" customHeight="1" x14ac:dyDescent="0.3">
      <c r="A129" s="49">
        <v>2</v>
      </c>
      <c r="B129" s="47" t="s">
        <v>141</v>
      </c>
      <c r="C129" s="41">
        <v>30</v>
      </c>
      <c r="D129" s="116">
        <f>7.5*C129/100</f>
        <v>2.25</v>
      </c>
      <c r="E129" s="116">
        <f>5*C129/100</f>
        <v>1.5</v>
      </c>
      <c r="F129" s="116">
        <f>55.2*C129/100</f>
        <v>16.559999999999999</v>
      </c>
      <c r="G129" s="116">
        <f>295*C129/100</f>
        <v>88.5</v>
      </c>
      <c r="H129" s="42">
        <f>0.06*C129/100</f>
        <v>1.7999999999999999E-2</v>
      </c>
      <c r="I129" s="42">
        <f>1*C129/100</f>
        <v>0.3</v>
      </c>
      <c r="J129" s="42">
        <f>0.04*C129/100</f>
        <v>1.2E-2</v>
      </c>
      <c r="K129" s="42">
        <f>0.2*C129/100</f>
        <v>0.06</v>
      </c>
      <c r="L129" s="42">
        <f>307*C129/100</f>
        <v>92.1</v>
      </c>
      <c r="M129" s="42">
        <f>219*C129/100</f>
        <v>65.7</v>
      </c>
      <c r="N129" s="42">
        <f>34*C129/100</f>
        <v>10.199999999999999</v>
      </c>
      <c r="O129" s="42">
        <f>0.2*C129/100</f>
        <v>0.06</v>
      </c>
      <c r="P129" s="128">
        <f>0.38*C129/100</f>
        <v>0.114</v>
      </c>
      <c r="Q129" s="128">
        <f>9*C129/100</f>
        <v>2.7</v>
      </c>
      <c r="R129" s="232">
        <v>140201</v>
      </c>
      <c r="S129" s="235"/>
    </row>
    <row r="130" spans="1:19" s="63" customFormat="1" x14ac:dyDescent="0.2">
      <c r="A130" s="49">
        <v>3</v>
      </c>
      <c r="B130" s="47" t="s">
        <v>160</v>
      </c>
      <c r="C130" s="41">
        <v>20</v>
      </c>
      <c r="D130" s="42">
        <f>7.76*C130/100</f>
        <v>1.5519999999999998</v>
      </c>
      <c r="E130" s="42">
        <f>2.65*C130/100</f>
        <v>0.53</v>
      </c>
      <c r="F130" s="42">
        <f>53.25*C130/100</f>
        <v>10.65</v>
      </c>
      <c r="G130" s="42">
        <f>273*C130/100</f>
        <v>54.6</v>
      </c>
      <c r="H130" s="42">
        <f>0.34*C130/100</f>
        <v>6.8000000000000005E-2</v>
      </c>
      <c r="I130" s="42">
        <f>0*C130/100</f>
        <v>0</v>
      </c>
      <c r="J130" s="42">
        <v>0</v>
      </c>
      <c r="K130" s="42">
        <f>1.5*C130/100</f>
        <v>0.3</v>
      </c>
      <c r="L130" s="48">
        <f>148.1*C130/100</f>
        <v>29.62</v>
      </c>
      <c r="M130" s="48">
        <f>0*C130/100</f>
        <v>0</v>
      </c>
      <c r="N130" s="48">
        <f>16*C130/100</f>
        <v>3.2</v>
      </c>
      <c r="O130" s="42">
        <f>2.4*C130/100</f>
        <v>0.48</v>
      </c>
      <c r="P130" s="56">
        <f>0.2*C130/100</f>
        <v>0.04</v>
      </c>
      <c r="Q130" s="56">
        <f>1.5*C130/100</f>
        <v>0.3</v>
      </c>
      <c r="R130" s="233">
        <v>200102</v>
      </c>
      <c r="S130" s="233"/>
    </row>
    <row r="131" spans="1:19" s="63" customFormat="1" ht="37.5" x14ac:dyDescent="0.2">
      <c r="A131" s="49">
        <v>4</v>
      </c>
      <c r="B131" s="47" t="s">
        <v>164</v>
      </c>
      <c r="C131" s="41">
        <v>10</v>
      </c>
      <c r="D131" s="42">
        <f>0.5*C131/100</f>
        <v>0.05</v>
      </c>
      <c r="E131" s="42">
        <f>82.5*C131/100</f>
        <v>8.25</v>
      </c>
      <c r="F131" s="42">
        <f>0.8*C131/100</f>
        <v>0.08</v>
      </c>
      <c r="G131" s="42">
        <f>748*C131/100</f>
        <v>74.8</v>
      </c>
      <c r="H131" s="42">
        <v>0</v>
      </c>
      <c r="I131" s="42">
        <v>0</v>
      </c>
      <c r="J131" s="42">
        <f>0.4*C131/100</f>
        <v>0.04</v>
      </c>
      <c r="K131" s="42">
        <f>1*C131/100</f>
        <v>0.1</v>
      </c>
      <c r="L131" s="48">
        <f>12*C131/100</f>
        <v>1.2</v>
      </c>
      <c r="M131" s="48">
        <f>19*C131/100</f>
        <v>1.9</v>
      </c>
      <c r="N131" s="48">
        <f>0*C131/100</f>
        <v>0</v>
      </c>
      <c r="O131" s="42">
        <f>0.2*C131/100</f>
        <v>0.02</v>
      </c>
      <c r="P131" s="56">
        <f>0.1*C131/100</f>
        <v>0.01</v>
      </c>
      <c r="Q131" s="49">
        <v>0</v>
      </c>
      <c r="R131" s="233"/>
      <c r="S131" s="233"/>
    </row>
    <row r="132" spans="1:19" s="63" customFormat="1" x14ac:dyDescent="0.2">
      <c r="A132" s="49">
        <v>5</v>
      </c>
      <c r="B132" s="47" t="s">
        <v>31</v>
      </c>
      <c r="C132" s="59">
        <v>200</v>
      </c>
      <c r="D132" s="60">
        <v>0</v>
      </c>
      <c r="E132" s="60">
        <v>0</v>
      </c>
      <c r="F132" s="60">
        <f>4.99*C132/100</f>
        <v>9.98</v>
      </c>
      <c r="G132" s="42">
        <f>19.95*C132/100</f>
        <v>39.9</v>
      </c>
      <c r="H132" s="42">
        <v>0</v>
      </c>
      <c r="I132" s="42">
        <v>0</v>
      </c>
      <c r="J132" s="42">
        <v>0</v>
      </c>
      <c r="K132" s="42">
        <v>0</v>
      </c>
      <c r="L132" s="48">
        <f>8.15*C132/100</f>
        <v>16.3</v>
      </c>
      <c r="M132" s="48">
        <f>0.02*C132/100</f>
        <v>0.04</v>
      </c>
      <c r="N132" s="48">
        <f>1.79*C132/100</f>
        <v>3.58</v>
      </c>
      <c r="O132" s="42">
        <f>0.02*C132/100</f>
        <v>0.04</v>
      </c>
      <c r="P132" s="49">
        <f>0.01*C132/100</f>
        <v>0.02</v>
      </c>
      <c r="Q132" s="49">
        <v>0.48</v>
      </c>
      <c r="R132" s="233">
        <v>160105</v>
      </c>
      <c r="S132" s="233"/>
    </row>
    <row r="133" spans="1:19" s="46" customFormat="1" ht="18.75" customHeight="1" x14ac:dyDescent="0.3">
      <c r="A133" s="49">
        <v>6</v>
      </c>
      <c r="B133" s="47" t="s">
        <v>232</v>
      </c>
      <c r="C133" s="41" t="s">
        <v>274</v>
      </c>
      <c r="D133" s="42">
        <v>0.8</v>
      </c>
      <c r="E133" s="42">
        <v>0.4</v>
      </c>
      <c r="F133" s="42">
        <v>8.1</v>
      </c>
      <c r="G133" s="42">
        <v>47</v>
      </c>
      <c r="H133" s="42">
        <v>0.02</v>
      </c>
      <c r="I133" s="42">
        <v>180</v>
      </c>
      <c r="J133" s="42">
        <v>0</v>
      </c>
      <c r="K133" s="42">
        <v>0.3</v>
      </c>
      <c r="L133" s="42">
        <v>40</v>
      </c>
      <c r="M133" s="42">
        <v>34</v>
      </c>
      <c r="N133" s="42">
        <v>25</v>
      </c>
      <c r="O133" s="42">
        <v>1E-3</v>
      </c>
      <c r="P133" s="55">
        <v>0.02</v>
      </c>
      <c r="Q133" s="55">
        <f>2*100/100</f>
        <v>2</v>
      </c>
      <c r="R133" s="235">
        <v>210105</v>
      </c>
      <c r="S133" s="235"/>
    </row>
    <row r="134" spans="1:19" s="37" customFormat="1" x14ac:dyDescent="0.2">
      <c r="A134" s="49"/>
      <c r="B134" s="132" t="s">
        <v>4</v>
      </c>
      <c r="C134" s="120"/>
      <c r="D134" s="169">
        <f t="shared" ref="D134:Q134" si="21">SUM(D128:D133)</f>
        <v>27.752000000000002</v>
      </c>
      <c r="E134" s="169">
        <f t="shared" si="21"/>
        <v>16.829999999999998</v>
      </c>
      <c r="F134" s="169">
        <f t="shared" si="21"/>
        <v>69.669999999999987</v>
      </c>
      <c r="G134" s="169">
        <f t="shared" si="21"/>
        <v>519</v>
      </c>
      <c r="H134" s="169">
        <f t="shared" si="21"/>
        <v>0.18099999999999999</v>
      </c>
      <c r="I134" s="169">
        <f t="shared" si="21"/>
        <v>180.61500000000001</v>
      </c>
      <c r="J134" s="169">
        <f t="shared" si="21"/>
        <v>0.127</v>
      </c>
      <c r="K134" s="169">
        <f t="shared" si="21"/>
        <v>1.2849999999999999</v>
      </c>
      <c r="L134" s="152">
        <f t="shared" si="21"/>
        <v>373.2</v>
      </c>
      <c r="M134" s="152">
        <f t="shared" si="21"/>
        <v>377.61</v>
      </c>
      <c r="N134" s="152">
        <f t="shared" si="21"/>
        <v>74.094999999999999</v>
      </c>
      <c r="O134" s="169">
        <f t="shared" si="21"/>
        <v>1.5309999999999999</v>
      </c>
      <c r="P134" s="152">
        <f t="shared" si="21"/>
        <v>0.53400000000000003</v>
      </c>
      <c r="Q134" s="152">
        <f t="shared" si="21"/>
        <v>8.18</v>
      </c>
      <c r="R134" s="233"/>
      <c r="S134" s="233"/>
    </row>
    <row r="135" spans="1:19" s="37" customFormat="1" ht="18" x14ac:dyDescent="0.2">
      <c r="A135" s="279" t="s">
        <v>5</v>
      </c>
      <c r="B135" s="280"/>
      <c r="C135" s="280"/>
      <c r="D135" s="280"/>
      <c r="E135" s="280"/>
      <c r="F135" s="280"/>
      <c r="G135" s="280"/>
      <c r="H135" s="280"/>
      <c r="I135" s="280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</row>
    <row r="136" spans="1:19" s="63" customFormat="1" ht="37.5" x14ac:dyDescent="0.2">
      <c r="A136" s="49">
        <v>1</v>
      </c>
      <c r="B136" s="47" t="s">
        <v>197</v>
      </c>
      <c r="C136" s="41">
        <v>60</v>
      </c>
      <c r="D136" s="42">
        <f>1.53*C136/100</f>
        <v>0.91799999999999993</v>
      </c>
      <c r="E136" s="42">
        <f>5.08*C136/100</f>
        <v>3.048</v>
      </c>
      <c r="F136" s="42">
        <f>4.54*C136/100</f>
        <v>2.7239999999999998</v>
      </c>
      <c r="G136" s="42">
        <f>70.62*C136/100</f>
        <v>42.372000000000007</v>
      </c>
      <c r="H136" s="42">
        <f>C136*0.05/100</f>
        <v>0.03</v>
      </c>
      <c r="I136" s="42">
        <f>C136*85.9/100</f>
        <v>51.54</v>
      </c>
      <c r="J136" s="42">
        <f>C136*7.86/100000</f>
        <v>4.7160000000000006E-3</v>
      </c>
      <c r="K136" s="42">
        <f>C136*0.94/100</f>
        <v>0.56399999999999995</v>
      </c>
      <c r="L136" s="48">
        <f>C136*34.97/100</f>
        <v>20.981999999999999</v>
      </c>
      <c r="M136" s="48">
        <f>C136*31.42/100</f>
        <v>18.852</v>
      </c>
      <c r="N136" s="48">
        <f>C136*15.03/100</f>
        <v>9.0179999999999989</v>
      </c>
      <c r="O136" s="42">
        <f>C136*0.62/100</f>
        <v>0.37200000000000005</v>
      </c>
      <c r="P136" s="49">
        <f>0.05*C136/100</f>
        <v>0.03</v>
      </c>
      <c r="Q136" s="49">
        <v>2.62</v>
      </c>
      <c r="R136" s="233">
        <v>100202</v>
      </c>
      <c r="S136" s="233"/>
    </row>
    <row r="137" spans="1:19" s="63" customFormat="1" x14ac:dyDescent="0.2">
      <c r="A137" s="49">
        <v>2</v>
      </c>
      <c r="B137" s="47" t="s">
        <v>177</v>
      </c>
      <c r="C137" s="41">
        <v>250</v>
      </c>
      <c r="D137" s="42">
        <f>4.7*C137/100</f>
        <v>11.75</v>
      </c>
      <c r="E137" s="42">
        <f>2*C137/100</f>
        <v>5</v>
      </c>
      <c r="F137" s="42">
        <f>1.5*C137/100</f>
        <v>3.75</v>
      </c>
      <c r="G137" s="42">
        <f>42.8*C137/100</f>
        <v>107</v>
      </c>
      <c r="H137" s="42">
        <f>0*C137/100</f>
        <v>0</v>
      </c>
      <c r="I137" s="42">
        <f>1.5*C137/100</f>
        <v>3.75</v>
      </c>
      <c r="J137" s="42">
        <f>0*C137/100</f>
        <v>0</v>
      </c>
      <c r="K137" s="42">
        <f>0*C137/100</f>
        <v>0</v>
      </c>
      <c r="L137" s="48">
        <f>1.5*C137/100</f>
        <v>3.75</v>
      </c>
      <c r="M137" s="48">
        <f>20.3*C137/100</f>
        <v>50.75</v>
      </c>
      <c r="N137" s="48">
        <f>2.5*C137/100</f>
        <v>6.25</v>
      </c>
      <c r="O137" s="42">
        <f>0.6*C137/100</f>
        <v>1.5</v>
      </c>
      <c r="P137" s="49">
        <f>0.01*C137/100</f>
        <v>2.5000000000000001E-2</v>
      </c>
      <c r="Q137" s="49">
        <v>0</v>
      </c>
      <c r="R137" s="233">
        <v>110501</v>
      </c>
      <c r="S137" s="233">
        <v>110502</v>
      </c>
    </row>
    <row r="138" spans="1:19" s="63" customFormat="1" x14ac:dyDescent="0.2">
      <c r="A138" s="49">
        <v>3</v>
      </c>
      <c r="B138" s="47" t="s">
        <v>170</v>
      </c>
      <c r="C138" s="41">
        <v>20</v>
      </c>
      <c r="D138" s="42">
        <f>12.7*C138/100</f>
        <v>2.54</v>
      </c>
      <c r="E138" s="42">
        <f>11.5*C138/100</f>
        <v>2.2999999999999998</v>
      </c>
      <c r="F138" s="42">
        <f>0.7*C138/100</f>
        <v>0.14000000000000001</v>
      </c>
      <c r="G138" s="42">
        <f>157*C138/100</f>
        <v>31.4</v>
      </c>
      <c r="H138" s="42">
        <f>0.07*C138/100</f>
        <v>1.4000000000000002E-2</v>
      </c>
      <c r="I138" s="42">
        <f>0*C138/100</f>
        <v>0</v>
      </c>
      <c r="J138" s="42">
        <f>0.25*C138/100</f>
        <v>0.05</v>
      </c>
      <c r="K138" s="42">
        <f>0*C138/100</f>
        <v>0</v>
      </c>
      <c r="L138" s="48">
        <f>55*C138/100</f>
        <v>11</v>
      </c>
      <c r="M138" s="48">
        <f>0.2*C138/100</f>
        <v>0.04</v>
      </c>
      <c r="N138" s="48">
        <f>12.06*C138/100</f>
        <v>2.4120000000000004</v>
      </c>
      <c r="O138" s="42">
        <f>2.5*C138/100</f>
        <v>0.5</v>
      </c>
      <c r="P138" s="49">
        <f>0.44*C138/100</f>
        <v>8.8000000000000009E-2</v>
      </c>
      <c r="Q138" s="49">
        <f>20*C138/100</f>
        <v>4</v>
      </c>
      <c r="R138" s="233">
        <v>120304</v>
      </c>
      <c r="S138" s="233"/>
    </row>
    <row r="139" spans="1:19" s="63" customFormat="1" x14ac:dyDescent="0.2">
      <c r="A139" s="49">
        <v>4</v>
      </c>
      <c r="B139" s="47" t="s">
        <v>202</v>
      </c>
      <c r="C139" s="41">
        <v>100</v>
      </c>
      <c r="D139" s="42">
        <f>18.4*C139/100</f>
        <v>18.399999999999999</v>
      </c>
      <c r="E139" s="42">
        <f>10.4*C139/100</f>
        <v>10.4</v>
      </c>
      <c r="F139" s="42">
        <f>12.1*C139/100</f>
        <v>12.1</v>
      </c>
      <c r="G139" s="42">
        <f>215.6*C139/100</f>
        <v>215.6</v>
      </c>
      <c r="H139" s="42">
        <f>0.23*C139/100</f>
        <v>0.23</v>
      </c>
      <c r="I139" s="42">
        <v>0</v>
      </c>
      <c r="J139" s="42">
        <f>0.01*C139/100</f>
        <v>0.01</v>
      </c>
      <c r="K139" s="42">
        <f>0.03*C139/100</f>
        <v>0.03</v>
      </c>
      <c r="L139" s="48">
        <f>12.4*C139/100</f>
        <v>12.4</v>
      </c>
      <c r="M139" s="48">
        <f>140.65*C139/100</f>
        <v>140.65</v>
      </c>
      <c r="N139" s="48">
        <f>26.47*C139/100</f>
        <v>26.47</v>
      </c>
      <c r="O139" s="42">
        <f>1.64*C139/100</f>
        <v>1.64</v>
      </c>
      <c r="P139" s="49">
        <f>0.14*C139/100</f>
        <v>0.14000000000000001</v>
      </c>
      <c r="Q139" s="49">
        <f>1.2*C139/100</f>
        <v>1.2</v>
      </c>
      <c r="R139" s="233">
        <v>120525</v>
      </c>
      <c r="S139" s="233">
        <v>120526</v>
      </c>
    </row>
    <row r="140" spans="1:19" s="63" customFormat="1" x14ac:dyDescent="0.2">
      <c r="A140" s="49">
        <v>5</v>
      </c>
      <c r="B140" s="47" t="s">
        <v>118</v>
      </c>
      <c r="C140" s="41">
        <v>30</v>
      </c>
      <c r="D140" s="42">
        <f>0.6*C140/100</f>
        <v>0.18</v>
      </c>
      <c r="E140" s="42">
        <f>4.4*C140/100</f>
        <v>1.32</v>
      </c>
      <c r="F140" s="42">
        <f>6.6*C140/100</f>
        <v>1.98</v>
      </c>
      <c r="G140" s="42">
        <f>68.4*C140/100</f>
        <v>20.52</v>
      </c>
      <c r="H140" s="42">
        <f>0.3*C140/100</f>
        <v>0.09</v>
      </c>
      <c r="I140" s="42">
        <f>15*C140/100</f>
        <v>4.5</v>
      </c>
      <c r="J140" s="42">
        <f>0.35*C140/100</f>
        <v>0.105</v>
      </c>
      <c r="K140" s="42">
        <f>0*C140/100</f>
        <v>0</v>
      </c>
      <c r="L140" s="48">
        <v>0</v>
      </c>
      <c r="M140" s="48">
        <v>0</v>
      </c>
      <c r="N140" s="48">
        <v>0</v>
      </c>
      <c r="O140" s="42">
        <v>0</v>
      </c>
      <c r="P140" s="49">
        <f>0.3*C140/100</f>
        <v>0.09</v>
      </c>
      <c r="Q140" s="49">
        <f>1.3*C140/100</f>
        <v>0.39</v>
      </c>
      <c r="R140" s="233">
        <v>140101</v>
      </c>
      <c r="S140" s="231">
        <v>140102</v>
      </c>
    </row>
    <row r="141" spans="1:19" s="63" customFormat="1" x14ac:dyDescent="0.2">
      <c r="A141" s="49">
        <v>6</v>
      </c>
      <c r="B141" s="47" t="s">
        <v>11</v>
      </c>
      <c r="C141" s="41">
        <v>150</v>
      </c>
      <c r="D141" s="42">
        <f>1.625*C141/100</f>
        <v>2.4375</v>
      </c>
      <c r="E141" s="42">
        <f>7.125*C141/100</f>
        <v>10.6875</v>
      </c>
      <c r="F141" s="42">
        <f>9.44*C141/100</f>
        <v>14.16</v>
      </c>
      <c r="G141" s="42">
        <f>108.4*C141/100</f>
        <v>162.6</v>
      </c>
      <c r="H141" s="42">
        <f>0.13*C141/100</f>
        <v>0.19500000000000001</v>
      </c>
      <c r="I141" s="42">
        <f>18.1*C141/100</f>
        <v>27.15</v>
      </c>
      <c r="J141" s="42">
        <f>0.02*C141/100</f>
        <v>0.03</v>
      </c>
      <c r="K141" s="42">
        <f>0.13*C141/100</f>
        <v>0.19500000000000001</v>
      </c>
      <c r="L141" s="48">
        <f>8.9*C141/100</f>
        <v>13.35</v>
      </c>
      <c r="M141" s="48">
        <f>49.09*C141/100</f>
        <v>73.635000000000005</v>
      </c>
      <c r="N141" s="48">
        <f>19.09*C141/100</f>
        <v>28.635000000000002</v>
      </c>
      <c r="O141" s="42">
        <f>0.77*C141/100</f>
        <v>1.155</v>
      </c>
      <c r="P141" s="49">
        <f>0.06*C141/100</f>
        <v>0.09</v>
      </c>
      <c r="Q141" s="49">
        <v>6.27</v>
      </c>
      <c r="R141" s="233">
        <v>130101</v>
      </c>
      <c r="S141" s="233">
        <v>130102</v>
      </c>
    </row>
    <row r="142" spans="1:19" s="66" customFormat="1" x14ac:dyDescent="0.2">
      <c r="A142" s="49">
        <v>7</v>
      </c>
      <c r="B142" s="47" t="s">
        <v>231</v>
      </c>
      <c r="C142" s="41">
        <v>200</v>
      </c>
      <c r="D142" s="60">
        <f>0.7*C142/100</f>
        <v>1.4</v>
      </c>
      <c r="E142" s="60">
        <v>0</v>
      </c>
      <c r="F142" s="60">
        <f>12*C142/100</f>
        <v>24</v>
      </c>
      <c r="G142" s="60">
        <f>48*C142/100</f>
        <v>96</v>
      </c>
      <c r="H142" s="42">
        <f>0.105*C142/100</f>
        <v>0.21</v>
      </c>
      <c r="I142" s="42">
        <f>2*C142/100</f>
        <v>4</v>
      </c>
      <c r="J142" s="42">
        <f>0.03*C142/100</f>
        <v>0.06</v>
      </c>
      <c r="K142" s="42">
        <f>0.35*C142/100</f>
        <v>0.7</v>
      </c>
      <c r="L142" s="48">
        <f>10.5*C142/100</f>
        <v>21</v>
      </c>
      <c r="M142" s="48">
        <f>8*C142/100</f>
        <v>16</v>
      </c>
      <c r="N142" s="48">
        <f>11.5*C142/100</f>
        <v>23</v>
      </c>
      <c r="O142" s="49">
        <f>0.35*C142/100</f>
        <v>0.7</v>
      </c>
      <c r="P142" s="49">
        <v>0</v>
      </c>
      <c r="Q142" s="49">
        <v>0.4</v>
      </c>
      <c r="R142" s="233"/>
      <c r="S142" s="233"/>
    </row>
    <row r="143" spans="1:19" s="63" customFormat="1" x14ac:dyDescent="0.2">
      <c r="A143" s="49">
        <v>8</v>
      </c>
      <c r="B143" s="47" t="s">
        <v>160</v>
      </c>
      <c r="C143" s="41">
        <v>40</v>
      </c>
      <c r="D143" s="42">
        <f>7.76*C143/100</f>
        <v>3.1039999999999996</v>
      </c>
      <c r="E143" s="42">
        <f>2.65*C143/100</f>
        <v>1.06</v>
      </c>
      <c r="F143" s="42">
        <f>53.25*C143/100</f>
        <v>21.3</v>
      </c>
      <c r="G143" s="42">
        <f>273*C143/100</f>
        <v>109.2</v>
      </c>
      <c r="H143" s="42">
        <f>0.34*C143/100</f>
        <v>0.13600000000000001</v>
      </c>
      <c r="I143" s="42">
        <f>0*C143/100</f>
        <v>0</v>
      </c>
      <c r="J143" s="42">
        <v>0</v>
      </c>
      <c r="K143" s="42">
        <f>1.5*C143/100</f>
        <v>0.6</v>
      </c>
      <c r="L143" s="48">
        <f>148.1*C143/100</f>
        <v>59.24</v>
      </c>
      <c r="M143" s="48">
        <f>0*C143/100</f>
        <v>0</v>
      </c>
      <c r="N143" s="48">
        <f>16*C143/100</f>
        <v>6.4</v>
      </c>
      <c r="O143" s="42">
        <f>2.4*C143/100</f>
        <v>0.96</v>
      </c>
      <c r="P143" s="56">
        <f>0.2*C143/100</f>
        <v>0.08</v>
      </c>
      <c r="Q143" s="56">
        <f>1.5*C143/100</f>
        <v>0.6</v>
      </c>
      <c r="R143" s="233">
        <v>200102</v>
      </c>
      <c r="S143" s="233"/>
    </row>
    <row r="144" spans="1:19" s="63" customFormat="1" x14ac:dyDescent="0.2">
      <c r="A144" s="49">
        <v>9</v>
      </c>
      <c r="B144" s="47" t="s">
        <v>159</v>
      </c>
      <c r="C144" s="41">
        <v>20</v>
      </c>
      <c r="D144" s="42">
        <f>5.86*C144/100</f>
        <v>1.1719999999999999</v>
      </c>
      <c r="E144" s="42">
        <f>0.94*C144/100</f>
        <v>0.18799999999999997</v>
      </c>
      <c r="F144" s="42">
        <f>44.4*C144/100</f>
        <v>8.8800000000000008</v>
      </c>
      <c r="G144" s="42">
        <f>189*C144/100</f>
        <v>37.799999999999997</v>
      </c>
      <c r="H144" s="42">
        <f>0.4*C144/100</f>
        <v>0.08</v>
      </c>
      <c r="I144" s="42">
        <f>0.03*C144/100</f>
        <v>6.0000000000000001E-3</v>
      </c>
      <c r="J144" s="42">
        <v>0</v>
      </c>
      <c r="K144" s="42">
        <f>1.7*C144/100</f>
        <v>0.34</v>
      </c>
      <c r="L144" s="48">
        <f>25.4*C144/100</f>
        <v>5.08</v>
      </c>
      <c r="M144" s="48">
        <f>105.53*C144/100</f>
        <v>21.105999999999998</v>
      </c>
      <c r="N144" s="48">
        <f>36.5*C144/100</f>
        <v>7.3</v>
      </c>
      <c r="O144" s="42">
        <f>2.45*C144/100</f>
        <v>0.49</v>
      </c>
      <c r="P144" s="56">
        <f>0.2*C144/100</f>
        <v>0.04</v>
      </c>
      <c r="Q144" s="56">
        <f>10*C144/100</f>
        <v>2</v>
      </c>
      <c r="R144" s="233">
        <v>200103</v>
      </c>
      <c r="S144" s="233"/>
    </row>
    <row r="145" spans="1:24" s="37" customFormat="1" x14ac:dyDescent="0.2">
      <c r="A145" s="49"/>
      <c r="B145" s="132" t="s">
        <v>4</v>
      </c>
      <c r="C145" s="120"/>
      <c r="D145" s="168">
        <f t="shared" ref="D145:Q145" si="22">SUM(D136:D144)</f>
        <v>41.901499999999992</v>
      </c>
      <c r="E145" s="168">
        <f t="shared" si="22"/>
        <v>34.003500000000003</v>
      </c>
      <c r="F145" s="168">
        <f t="shared" si="22"/>
        <v>89.033999999999992</v>
      </c>
      <c r="G145" s="168">
        <f t="shared" si="22"/>
        <v>822.49199999999996</v>
      </c>
      <c r="H145" s="168">
        <f t="shared" si="22"/>
        <v>0.98499999999999988</v>
      </c>
      <c r="I145" s="168">
        <f t="shared" si="22"/>
        <v>90.945999999999998</v>
      </c>
      <c r="J145" s="168">
        <f t="shared" si="22"/>
        <v>0.25971599999999995</v>
      </c>
      <c r="K145" s="168">
        <f t="shared" si="22"/>
        <v>2.4289999999999998</v>
      </c>
      <c r="L145" s="167">
        <f t="shared" si="22"/>
        <v>146.80200000000002</v>
      </c>
      <c r="M145" s="167">
        <f t="shared" si="22"/>
        <v>321.03300000000002</v>
      </c>
      <c r="N145" s="167">
        <f t="shared" si="22"/>
        <v>109.485</v>
      </c>
      <c r="O145" s="168">
        <f t="shared" si="22"/>
        <v>7.3170000000000002</v>
      </c>
      <c r="P145" s="168">
        <f t="shared" si="22"/>
        <v>0.58299999999999996</v>
      </c>
      <c r="Q145" s="168">
        <f t="shared" si="22"/>
        <v>17.48</v>
      </c>
      <c r="R145" s="233"/>
      <c r="S145" s="233"/>
    </row>
    <row r="146" spans="1:24" s="72" customFormat="1" x14ac:dyDescent="0.2">
      <c r="A146" s="271"/>
      <c r="B146" s="272" t="s">
        <v>286</v>
      </c>
      <c r="C146" s="273"/>
      <c r="D146" s="274">
        <f t="shared" ref="D146:F146" si="23">(D25+D48+D71+D97+D120+D145)/6</f>
        <v>27.909333333333336</v>
      </c>
      <c r="E146" s="274">
        <f t="shared" si="23"/>
        <v>29.970416666666669</v>
      </c>
      <c r="F146" s="274">
        <f t="shared" si="23"/>
        <v>111.62633333333332</v>
      </c>
      <c r="G146" s="274">
        <f>(G25+G48+G71+G97+G120+G145)/6</f>
        <v>813.1636666666667</v>
      </c>
      <c r="H146" s="274">
        <f t="shared" ref="H146:Q146" si="24">(H25+H48+H71+H97+H120+H145)/6</f>
        <v>0.70783333333333331</v>
      </c>
      <c r="I146" s="274">
        <f t="shared" si="24"/>
        <v>54.795666666666669</v>
      </c>
      <c r="J146" s="274">
        <f t="shared" si="24"/>
        <v>0.45007200000000003</v>
      </c>
      <c r="K146" s="274">
        <f t="shared" si="24"/>
        <v>2.7364999999999995</v>
      </c>
      <c r="L146" s="274">
        <f t="shared" si="24"/>
        <v>217.65016666666665</v>
      </c>
      <c r="M146" s="274">
        <f t="shared" si="24"/>
        <v>412.83433333333329</v>
      </c>
      <c r="N146" s="274">
        <f t="shared" si="24"/>
        <v>145.48625000000001</v>
      </c>
      <c r="O146" s="274">
        <f t="shared" si="24"/>
        <v>9.2225000000000019</v>
      </c>
      <c r="P146" s="274">
        <f t="shared" si="24"/>
        <v>0.53049958333333336</v>
      </c>
      <c r="Q146" s="274">
        <f t="shared" si="24"/>
        <v>25.544333333333331</v>
      </c>
      <c r="R146" s="233"/>
      <c r="S146" s="233"/>
    </row>
    <row r="147" spans="1:24" s="37" customFormat="1" ht="18" x14ac:dyDescent="0.2">
      <c r="A147" s="279" t="s">
        <v>35</v>
      </c>
      <c r="B147" s="280"/>
      <c r="C147" s="280"/>
      <c r="D147" s="280"/>
      <c r="E147" s="280"/>
      <c r="F147" s="280"/>
      <c r="G147" s="280"/>
      <c r="H147" s="280"/>
      <c r="I147" s="280"/>
      <c r="J147" s="280"/>
      <c r="K147" s="280"/>
      <c r="L147" s="280"/>
      <c r="M147" s="280"/>
      <c r="N147" s="280"/>
      <c r="O147" s="280"/>
      <c r="P147" s="280"/>
      <c r="Q147" s="280"/>
      <c r="R147" s="280"/>
      <c r="S147" s="280"/>
    </row>
    <row r="148" spans="1:24" s="63" customFormat="1" x14ac:dyDescent="0.2">
      <c r="A148" s="49">
        <v>1</v>
      </c>
      <c r="B148" s="47" t="s">
        <v>147</v>
      </c>
      <c r="C148" s="59">
        <v>200</v>
      </c>
      <c r="D148" s="60">
        <f>0.1*C148/100</f>
        <v>0.2</v>
      </c>
      <c r="E148" s="60">
        <f>0.02*C148/100</f>
        <v>0.04</v>
      </c>
      <c r="F148" s="60">
        <f>5.11*C148/100</f>
        <v>10.220000000000001</v>
      </c>
      <c r="G148" s="42">
        <f>21.14*C148/100</f>
        <v>42.28</v>
      </c>
      <c r="H148" s="49">
        <f>C148*0/100</f>
        <v>0</v>
      </c>
      <c r="I148" s="49">
        <f>1.43*C148/100</f>
        <v>2.86</v>
      </c>
      <c r="J148" s="49">
        <f>C148*0/100000</f>
        <v>0</v>
      </c>
      <c r="K148" s="49">
        <f>C148*0.01/100</f>
        <v>0.02</v>
      </c>
      <c r="L148" s="48">
        <f>C148*7.87/100</f>
        <v>15.74</v>
      </c>
      <c r="M148" s="48">
        <f>C148*3.65/100</f>
        <v>7.3</v>
      </c>
      <c r="N148" s="48">
        <f>C148*2.98/100</f>
        <v>5.96</v>
      </c>
      <c r="O148" s="49">
        <f>C148*0.32/100</f>
        <v>0.64</v>
      </c>
      <c r="P148" s="49">
        <v>0</v>
      </c>
      <c r="Q148" s="49">
        <v>2.13</v>
      </c>
      <c r="R148" s="233">
        <v>160106</v>
      </c>
      <c r="S148" s="233"/>
    </row>
    <row r="149" spans="1:24" s="52" customFormat="1" x14ac:dyDescent="0.2">
      <c r="A149" s="49">
        <v>2</v>
      </c>
      <c r="B149" s="47" t="s">
        <v>284</v>
      </c>
      <c r="C149" s="41">
        <v>40</v>
      </c>
      <c r="D149" s="251">
        <f>13.48*C149/100</f>
        <v>5.3920000000000003</v>
      </c>
      <c r="E149" s="251">
        <f>24.46*C149/100</f>
        <v>9.7840000000000007</v>
      </c>
      <c r="F149" s="251">
        <f>21.5*C149/100</f>
        <v>8.6</v>
      </c>
      <c r="G149" s="251">
        <f>267*C149/100</f>
        <v>106.8</v>
      </c>
      <c r="H149" s="42">
        <f>0.17*C149/100</f>
        <v>6.8000000000000005E-2</v>
      </c>
      <c r="I149" s="42">
        <f>43.2*C149/100</f>
        <v>17.28</v>
      </c>
      <c r="J149" s="42">
        <v>0</v>
      </c>
      <c r="K149" s="42">
        <v>0</v>
      </c>
      <c r="L149" s="48">
        <f>70.94*C149/100</f>
        <v>28.375999999999998</v>
      </c>
      <c r="M149" s="48">
        <v>0</v>
      </c>
      <c r="N149" s="48">
        <f>6.4*C149/100</f>
        <v>2.56</v>
      </c>
      <c r="O149" s="42">
        <f>2.46*C149/100</f>
        <v>0.9840000000000001</v>
      </c>
      <c r="P149" s="49">
        <f>0.15*C149/100</f>
        <v>0.06</v>
      </c>
      <c r="Q149" s="49">
        <v>0</v>
      </c>
      <c r="R149" s="233">
        <v>100103</v>
      </c>
      <c r="S149" s="233"/>
      <c r="T149" s="68"/>
      <c r="U149" s="68"/>
      <c r="V149" s="68"/>
      <c r="W149" s="68"/>
      <c r="X149" s="68"/>
    </row>
    <row r="150" spans="1:24" s="64" customFormat="1" x14ac:dyDescent="0.3">
      <c r="A150" s="49">
        <v>3</v>
      </c>
      <c r="B150" s="47" t="s">
        <v>187</v>
      </c>
      <c r="C150" s="41">
        <v>100</v>
      </c>
      <c r="D150" s="42">
        <f>5*C150/100</f>
        <v>5</v>
      </c>
      <c r="E150" s="166">
        <f>3.2*C150/100</f>
        <v>3.2</v>
      </c>
      <c r="F150" s="42">
        <f>8.5*C150/100</f>
        <v>8.5</v>
      </c>
      <c r="G150" s="166">
        <f>80.7*C150/100</f>
        <v>80.7</v>
      </c>
      <c r="H150" s="42">
        <f>0.04*C150/100</f>
        <v>0.04</v>
      </c>
      <c r="I150" s="166">
        <f>0.6*C150/100</f>
        <v>0.6</v>
      </c>
      <c r="J150" s="42">
        <f>0.03*C150/100</f>
        <v>0.03</v>
      </c>
      <c r="K150" s="166">
        <v>0</v>
      </c>
      <c r="L150" s="42">
        <f>122*C150/100</f>
        <v>122</v>
      </c>
      <c r="M150" s="42">
        <f>96*C150/100</f>
        <v>96</v>
      </c>
      <c r="N150" s="42">
        <f>15*C150/100</f>
        <v>15</v>
      </c>
      <c r="O150" s="42">
        <f>0.1*C150/100</f>
        <v>0.1</v>
      </c>
      <c r="P150" s="42">
        <f>0.2*C150/100</f>
        <v>0.2</v>
      </c>
      <c r="Q150" s="42">
        <v>0</v>
      </c>
      <c r="R150" s="238"/>
      <c r="S150" s="238"/>
      <c r="T150" s="69"/>
      <c r="U150" s="69"/>
      <c r="V150" s="70"/>
      <c r="W150" s="70"/>
      <c r="X150" s="71"/>
    </row>
    <row r="151" spans="1:24" s="37" customFormat="1" x14ac:dyDescent="0.2">
      <c r="A151" s="49"/>
      <c r="B151" s="132" t="s">
        <v>4</v>
      </c>
      <c r="C151" s="120"/>
      <c r="D151" s="169">
        <f t="shared" ref="D151:Q151" si="25">SUM(D148:D150)</f>
        <v>10.592000000000001</v>
      </c>
      <c r="E151" s="169">
        <f t="shared" si="25"/>
        <v>13.024000000000001</v>
      </c>
      <c r="F151" s="169">
        <f t="shared" si="25"/>
        <v>27.32</v>
      </c>
      <c r="G151" s="169">
        <f t="shared" si="25"/>
        <v>229.77999999999997</v>
      </c>
      <c r="H151" s="169">
        <f t="shared" si="25"/>
        <v>0.10800000000000001</v>
      </c>
      <c r="I151" s="169">
        <f t="shared" si="25"/>
        <v>20.740000000000002</v>
      </c>
      <c r="J151" s="169">
        <f t="shared" si="25"/>
        <v>0.03</v>
      </c>
      <c r="K151" s="169">
        <f t="shared" si="25"/>
        <v>0.02</v>
      </c>
      <c r="L151" s="152">
        <f t="shared" si="25"/>
        <v>166.11599999999999</v>
      </c>
      <c r="M151" s="152">
        <f t="shared" si="25"/>
        <v>103.3</v>
      </c>
      <c r="N151" s="152">
        <f t="shared" si="25"/>
        <v>23.52</v>
      </c>
      <c r="O151" s="169">
        <f t="shared" si="25"/>
        <v>1.7240000000000002</v>
      </c>
      <c r="P151" s="125">
        <f t="shared" si="25"/>
        <v>0.26</v>
      </c>
      <c r="Q151" s="125">
        <f t="shared" si="25"/>
        <v>2.13</v>
      </c>
      <c r="R151" s="233"/>
      <c r="S151" s="233"/>
      <c r="T151" s="72"/>
      <c r="U151" s="72"/>
      <c r="V151" s="72"/>
      <c r="W151" s="72"/>
      <c r="X151" s="72"/>
    </row>
    <row r="152" spans="1:24" s="37" customFormat="1" x14ac:dyDescent="0.2">
      <c r="A152" s="49"/>
      <c r="B152" s="132" t="s">
        <v>7</v>
      </c>
      <c r="C152" s="120"/>
      <c r="D152" s="168">
        <f t="shared" ref="D152:Q152" si="26">D134+D145+D151</f>
        <v>80.245499999999993</v>
      </c>
      <c r="E152" s="168">
        <f t="shared" si="26"/>
        <v>63.857500000000002</v>
      </c>
      <c r="F152" s="168">
        <f t="shared" si="26"/>
        <v>186.02399999999997</v>
      </c>
      <c r="G152" s="168">
        <f t="shared" si="26"/>
        <v>1571.2719999999999</v>
      </c>
      <c r="H152" s="168">
        <f t="shared" si="26"/>
        <v>1.274</v>
      </c>
      <c r="I152" s="168">
        <f t="shared" si="26"/>
        <v>292.30100000000004</v>
      </c>
      <c r="J152" s="168">
        <f t="shared" si="26"/>
        <v>0.41671599999999998</v>
      </c>
      <c r="K152" s="168">
        <f t="shared" si="26"/>
        <v>3.7339999999999995</v>
      </c>
      <c r="L152" s="167">
        <f t="shared" si="26"/>
        <v>686.11799999999994</v>
      </c>
      <c r="M152" s="167">
        <f t="shared" si="26"/>
        <v>801.94299999999998</v>
      </c>
      <c r="N152" s="167">
        <f t="shared" si="26"/>
        <v>207.1</v>
      </c>
      <c r="O152" s="168">
        <f t="shared" si="26"/>
        <v>10.572000000000001</v>
      </c>
      <c r="P152" s="168">
        <f t="shared" si="26"/>
        <v>1.377</v>
      </c>
      <c r="Q152" s="168">
        <f t="shared" si="26"/>
        <v>27.79</v>
      </c>
      <c r="R152" s="233"/>
      <c r="S152" s="233"/>
      <c r="T152" s="72"/>
      <c r="U152" s="72"/>
      <c r="V152" s="72"/>
      <c r="W152" s="72"/>
      <c r="X152" s="72"/>
    </row>
    <row r="153" spans="1:24" s="37" customFormat="1" x14ac:dyDescent="0.2">
      <c r="A153" s="49"/>
      <c r="B153" s="132" t="s">
        <v>153</v>
      </c>
      <c r="C153" s="120"/>
      <c r="D153" s="168">
        <f t="shared" ref="D153:Q153" si="27">(D30+D53+D79+D102+D125+D152)/6</f>
        <v>57.996166666666674</v>
      </c>
      <c r="E153" s="168">
        <f t="shared" si="27"/>
        <v>59.096583333333335</v>
      </c>
      <c r="F153" s="168">
        <f t="shared" si="27"/>
        <v>227.31283333333332</v>
      </c>
      <c r="G153" s="168">
        <f t="shared" si="27"/>
        <v>1658.5103333333336</v>
      </c>
      <c r="H153" s="168">
        <f t="shared" si="27"/>
        <v>1.3754000000000002</v>
      </c>
      <c r="I153" s="168">
        <f t="shared" si="27"/>
        <v>116.95766666666668</v>
      </c>
      <c r="J153" s="168">
        <f t="shared" si="27"/>
        <v>0.74307200000000007</v>
      </c>
      <c r="K153" s="168">
        <f t="shared" si="27"/>
        <v>5.7355000000000009</v>
      </c>
      <c r="L153" s="168">
        <f t="shared" si="27"/>
        <v>573.52133333333325</v>
      </c>
      <c r="M153" s="168">
        <f t="shared" si="27"/>
        <v>754.16949999999997</v>
      </c>
      <c r="N153" s="168">
        <f t="shared" si="27"/>
        <v>230.19408333333331</v>
      </c>
      <c r="O153" s="168">
        <f t="shared" si="27"/>
        <v>12.915666666666668</v>
      </c>
      <c r="P153" s="168">
        <f t="shared" si="27"/>
        <v>1.1131995833333332</v>
      </c>
      <c r="Q153" s="168">
        <f t="shared" si="27"/>
        <v>40.441833333333328</v>
      </c>
      <c r="R153" s="233"/>
      <c r="S153" s="233"/>
      <c r="T153" s="72"/>
      <c r="U153" s="72"/>
      <c r="V153" s="72"/>
      <c r="W153" s="72"/>
      <c r="X153" s="72"/>
    </row>
    <row r="154" spans="1:24" s="37" customFormat="1" x14ac:dyDescent="0.2">
      <c r="A154" s="299" t="s">
        <v>47</v>
      </c>
      <c r="B154" s="299"/>
      <c r="C154" s="299"/>
      <c r="D154" s="299"/>
      <c r="E154" s="299"/>
      <c r="F154" s="299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</row>
    <row r="155" spans="1:24" s="37" customFormat="1" x14ac:dyDescent="0.2">
      <c r="A155" s="299" t="s">
        <v>3</v>
      </c>
      <c r="B155" s="299"/>
      <c r="C155" s="299"/>
      <c r="D155" s="299"/>
      <c r="E155" s="299"/>
      <c r="F155" s="299"/>
      <c r="G155" s="280"/>
      <c r="H155" s="280"/>
      <c r="I155" s="280"/>
      <c r="J155" s="280"/>
      <c r="K155" s="280"/>
      <c r="L155" s="280"/>
      <c r="M155" s="280"/>
      <c r="N155" s="280"/>
      <c r="O155" s="280"/>
      <c r="P155" s="280"/>
      <c r="Q155" s="280"/>
      <c r="R155" s="280"/>
      <c r="S155" s="280"/>
    </row>
    <row r="156" spans="1:24" s="63" customFormat="1" x14ac:dyDescent="0.2">
      <c r="A156" s="49">
        <v>1</v>
      </c>
      <c r="B156" s="47" t="s">
        <v>111</v>
      </c>
      <c r="C156" s="41">
        <v>150</v>
      </c>
      <c r="D156" s="42">
        <f>6.06*C156/100</f>
        <v>9.0899999999999981</v>
      </c>
      <c r="E156" s="42">
        <f>8.65*C156/100</f>
        <v>12.975</v>
      </c>
      <c r="F156" s="42">
        <f>18.91*C156/100</f>
        <v>28.364999999999998</v>
      </c>
      <c r="G156" s="42">
        <f>185.41*C156/100</f>
        <v>278.11500000000001</v>
      </c>
      <c r="H156" s="42">
        <f>0.03*C156/100</f>
        <v>4.4999999999999998E-2</v>
      </c>
      <c r="I156" s="42">
        <f>0.08*C156/100</f>
        <v>0.12</v>
      </c>
      <c r="J156" s="42">
        <f>0.05*C156/100</f>
        <v>7.4999999999999997E-2</v>
      </c>
      <c r="K156" s="42">
        <f>0.12*C156/100</f>
        <v>0.18</v>
      </c>
      <c r="L156" s="42">
        <f>102.51*C156/100</f>
        <v>153.76499999999999</v>
      </c>
      <c r="M156" s="42">
        <f>86.21*C156/100</f>
        <v>129.31499999999997</v>
      </c>
      <c r="N156" s="42">
        <f>9.44*C156/100</f>
        <v>14.16</v>
      </c>
      <c r="O156" s="42">
        <f>0.59*C156/100</f>
        <v>0.88500000000000001</v>
      </c>
      <c r="P156" s="49">
        <f>0.04*C156/100</f>
        <v>0.06</v>
      </c>
      <c r="Q156" s="49">
        <v>1.45</v>
      </c>
      <c r="R156" s="233">
        <v>120213</v>
      </c>
      <c r="S156" s="236">
        <v>120214</v>
      </c>
    </row>
    <row r="157" spans="1:24" s="63" customFormat="1" x14ac:dyDescent="0.2">
      <c r="A157" s="49">
        <v>2</v>
      </c>
      <c r="B157" s="47" t="s">
        <v>233</v>
      </c>
      <c r="C157" s="41">
        <v>200</v>
      </c>
      <c r="D157" s="166">
        <f>0*C157/100</f>
        <v>0</v>
      </c>
      <c r="E157" s="166">
        <f>0*C157/100</f>
        <v>0</v>
      </c>
      <c r="F157" s="166">
        <f>0*C157/100</f>
        <v>0</v>
      </c>
      <c r="G157" s="166">
        <f>17*C157/100</f>
        <v>34</v>
      </c>
      <c r="H157" s="42">
        <v>0</v>
      </c>
      <c r="I157" s="42">
        <v>0</v>
      </c>
      <c r="J157" s="42">
        <v>0</v>
      </c>
      <c r="K157" s="42">
        <v>0</v>
      </c>
      <c r="L157" s="48">
        <v>4.8600000000000003</v>
      </c>
      <c r="M157" s="48">
        <v>0</v>
      </c>
      <c r="N157" s="48">
        <v>1.08</v>
      </c>
      <c r="O157" s="42">
        <v>0</v>
      </c>
      <c r="P157" s="49">
        <v>0</v>
      </c>
      <c r="Q157" s="49">
        <v>0</v>
      </c>
      <c r="R157" s="233">
        <v>160107</v>
      </c>
      <c r="S157" s="233"/>
    </row>
    <row r="158" spans="1:24" s="63" customFormat="1" x14ac:dyDescent="0.3">
      <c r="A158" s="49">
        <v>3</v>
      </c>
      <c r="B158" s="47" t="s">
        <v>140</v>
      </c>
      <c r="C158" s="41">
        <v>10</v>
      </c>
      <c r="D158" s="166">
        <f>0*C158/100</f>
        <v>0</v>
      </c>
      <c r="E158" s="166">
        <f>0*C158/100</f>
        <v>0</v>
      </c>
      <c r="F158" s="166">
        <f>99.8*C158/100</f>
        <v>9.98</v>
      </c>
      <c r="G158" s="166">
        <f>374.3*C158/100</f>
        <v>37.43</v>
      </c>
      <c r="H158" s="42">
        <v>0</v>
      </c>
      <c r="I158" s="42">
        <v>0</v>
      </c>
      <c r="J158" s="42">
        <v>0</v>
      </c>
      <c r="K158" s="42">
        <v>0</v>
      </c>
      <c r="L158" s="42">
        <v>0.2</v>
      </c>
      <c r="M158" s="42">
        <v>0</v>
      </c>
      <c r="N158" s="42">
        <v>0</v>
      </c>
      <c r="O158" s="42">
        <v>0.03</v>
      </c>
      <c r="P158" s="55">
        <v>0</v>
      </c>
      <c r="Q158" s="55">
        <v>0</v>
      </c>
      <c r="R158" s="233"/>
      <c r="S158" s="233"/>
    </row>
    <row r="159" spans="1:24" s="46" customFormat="1" ht="31.5" x14ac:dyDescent="0.3">
      <c r="A159" s="49">
        <v>4</v>
      </c>
      <c r="B159" s="47" t="s">
        <v>256</v>
      </c>
      <c r="C159" s="41">
        <v>50</v>
      </c>
      <c r="D159" s="42">
        <f>11.4*C159/100</f>
        <v>5.7</v>
      </c>
      <c r="E159" s="42">
        <f>6.2*C159/100</f>
        <v>3.1</v>
      </c>
      <c r="F159" s="42">
        <f>54.7*C159/100</f>
        <v>27.35</v>
      </c>
      <c r="G159" s="42">
        <f>320.2*C159/100</f>
        <v>160.1</v>
      </c>
      <c r="H159" s="42">
        <f>0.16*C159/100</f>
        <v>0.08</v>
      </c>
      <c r="I159" s="42">
        <f>0.76*C159/100</f>
        <v>0.38</v>
      </c>
      <c r="J159" s="42">
        <f>0.02*C159/100</f>
        <v>0.01</v>
      </c>
      <c r="K159" s="42">
        <f>1.25*C159/100</f>
        <v>0.625</v>
      </c>
      <c r="L159" s="42">
        <f>63.4*C159/100</f>
        <v>31.7</v>
      </c>
      <c r="M159" s="42">
        <f>102.56*C159/100</f>
        <v>51.28</v>
      </c>
      <c r="N159" s="42">
        <f>19.8*C159/100</f>
        <v>9.9</v>
      </c>
      <c r="O159" s="42">
        <f>1.19*C159/100</f>
        <v>0.59499999999999997</v>
      </c>
      <c r="P159" s="55">
        <f>0.09*C159/100</f>
        <v>4.4999999999999998E-2</v>
      </c>
      <c r="Q159" s="55">
        <v>3.01</v>
      </c>
      <c r="R159" s="231" t="s">
        <v>244</v>
      </c>
      <c r="S159" s="233">
        <v>190109</v>
      </c>
    </row>
    <row r="160" spans="1:24" s="64" customFormat="1" ht="18.75" customHeight="1" x14ac:dyDescent="0.3">
      <c r="A160" s="49">
        <v>5</v>
      </c>
      <c r="B160" s="47" t="s">
        <v>232</v>
      </c>
      <c r="C160" s="41" t="s">
        <v>274</v>
      </c>
      <c r="D160" s="42">
        <v>0.6</v>
      </c>
      <c r="E160" s="42">
        <v>0.45</v>
      </c>
      <c r="F160" s="42">
        <v>15.45</v>
      </c>
      <c r="G160" s="42">
        <v>70.5</v>
      </c>
      <c r="H160" s="42">
        <v>0.03</v>
      </c>
      <c r="I160" s="42">
        <v>7.5</v>
      </c>
      <c r="J160" s="42">
        <v>0</v>
      </c>
      <c r="K160" s="42">
        <v>0.6</v>
      </c>
      <c r="L160" s="42">
        <v>28.5</v>
      </c>
      <c r="M160" s="42">
        <v>24</v>
      </c>
      <c r="N160" s="42">
        <v>18</v>
      </c>
      <c r="O160" s="42">
        <v>3.0000000000000001E-3</v>
      </c>
      <c r="P160" s="55">
        <v>4.4999999999999998E-2</v>
      </c>
      <c r="Q160" s="55">
        <v>0</v>
      </c>
      <c r="R160" s="235">
        <v>210106</v>
      </c>
      <c r="S160" s="235"/>
    </row>
    <row r="161" spans="1:19" s="37" customFormat="1" x14ac:dyDescent="0.2">
      <c r="A161" s="49"/>
      <c r="B161" s="151" t="s">
        <v>4</v>
      </c>
      <c r="C161" s="109"/>
      <c r="D161" s="169">
        <f t="shared" ref="D161:Q161" si="28">SUM(D156:D160)</f>
        <v>15.389999999999999</v>
      </c>
      <c r="E161" s="169">
        <f t="shared" si="28"/>
        <v>16.524999999999999</v>
      </c>
      <c r="F161" s="169">
        <f t="shared" si="28"/>
        <v>81.144999999999996</v>
      </c>
      <c r="G161" s="169">
        <f t="shared" si="28"/>
        <v>580.14499999999998</v>
      </c>
      <c r="H161" s="169">
        <f t="shared" si="28"/>
        <v>0.155</v>
      </c>
      <c r="I161" s="169">
        <f t="shared" si="28"/>
        <v>8</v>
      </c>
      <c r="J161" s="169">
        <f t="shared" si="28"/>
        <v>8.4999999999999992E-2</v>
      </c>
      <c r="K161" s="169">
        <f t="shared" si="28"/>
        <v>1.4049999999999998</v>
      </c>
      <c r="L161" s="152">
        <f t="shared" si="28"/>
        <v>219.02499999999998</v>
      </c>
      <c r="M161" s="152">
        <f t="shared" si="28"/>
        <v>204.59499999999997</v>
      </c>
      <c r="N161" s="152">
        <f t="shared" si="28"/>
        <v>43.14</v>
      </c>
      <c r="O161" s="169">
        <f t="shared" si="28"/>
        <v>1.5129999999999999</v>
      </c>
      <c r="P161" s="125">
        <f t="shared" si="28"/>
        <v>0.15</v>
      </c>
      <c r="Q161" s="125">
        <f t="shared" si="28"/>
        <v>4.46</v>
      </c>
      <c r="R161" s="233"/>
      <c r="S161" s="233"/>
    </row>
    <row r="162" spans="1:19" s="37" customFormat="1" x14ac:dyDescent="0.2">
      <c r="A162" s="299" t="s">
        <v>5</v>
      </c>
      <c r="B162" s="299"/>
      <c r="C162" s="299"/>
      <c r="D162" s="299"/>
      <c r="E162" s="299"/>
      <c r="F162" s="299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</row>
    <row r="163" spans="1:19" s="63" customFormat="1" ht="37.5" x14ac:dyDescent="0.2">
      <c r="A163" s="49">
        <v>1</v>
      </c>
      <c r="B163" s="47" t="s">
        <v>125</v>
      </c>
      <c r="C163" s="41">
        <v>60</v>
      </c>
      <c r="D163" s="42">
        <f>1.18*C163/100</f>
        <v>0.70799999999999996</v>
      </c>
      <c r="E163" s="42">
        <f>7.08*C163/100</f>
        <v>4.2480000000000002</v>
      </c>
      <c r="F163" s="42">
        <f>9.27*C163/100</f>
        <v>5.5619999999999994</v>
      </c>
      <c r="G163" s="42">
        <f>106.75*C163/100</f>
        <v>64.05</v>
      </c>
      <c r="H163" s="42">
        <f>C163*0.05/100</f>
        <v>0.03</v>
      </c>
      <c r="I163" s="42">
        <f>C163*3.18/100</f>
        <v>1.9080000000000001</v>
      </c>
      <c r="J163" s="42">
        <f>C163*7.86/100000</f>
        <v>4.7160000000000006E-3</v>
      </c>
      <c r="K163" s="42">
        <f>C163*1.56/100</f>
        <v>0.93600000000000005</v>
      </c>
      <c r="L163" s="48">
        <f>C163*24.66/100</f>
        <v>14.795999999999999</v>
      </c>
      <c r="M163" s="48">
        <f>C163*50.19/100</f>
        <v>30.113999999999997</v>
      </c>
      <c r="N163" s="48">
        <f>C163*34.58/100</f>
        <v>20.747999999999998</v>
      </c>
      <c r="O163" s="42">
        <f>C163*0.65/100</f>
        <v>0.39</v>
      </c>
      <c r="P163" s="49">
        <f>0.06*C163/100</f>
        <v>3.5999999999999997E-2</v>
      </c>
      <c r="Q163" s="49">
        <v>2.62</v>
      </c>
      <c r="R163" s="233">
        <v>100302</v>
      </c>
      <c r="S163" s="233"/>
    </row>
    <row r="164" spans="1:19" s="63" customFormat="1" x14ac:dyDescent="0.2">
      <c r="A164" s="49">
        <v>2</v>
      </c>
      <c r="B164" s="47" t="s">
        <v>40</v>
      </c>
      <c r="C164" s="41">
        <v>250</v>
      </c>
      <c r="D164" s="42">
        <f>1.2*C164/100</f>
        <v>3</v>
      </c>
      <c r="E164" s="42">
        <f>1.6*C164/100</f>
        <v>4</v>
      </c>
      <c r="F164" s="42">
        <f>8.4*C164/100</f>
        <v>21</v>
      </c>
      <c r="G164" s="42">
        <f>52.8*C164/100</f>
        <v>132</v>
      </c>
      <c r="H164" s="42">
        <f>C164*0.03/100</f>
        <v>7.4999999999999997E-2</v>
      </c>
      <c r="I164" s="42">
        <f>C164*26.7/100</f>
        <v>66.75</v>
      </c>
      <c r="J164" s="42">
        <v>0</v>
      </c>
      <c r="K164" s="42">
        <f>C164*1.88/100</f>
        <v>4.7</v>
      </c>
      <c r="L164" s="48">
        <f>C164*45.72/100</f>
        <v>114.3</v>
      </c>
      <c r="M164" s="48">
        <f>C164*31.46/100</f>
        <v>78.650000000000006</v>
      </c>
      <c r="N164" s="48">
        <f>C164*17.33/100</f>
        <v>43.325000000000003</v>
      </c>
      <c r="O164" s="42">
        <f>C164*0.61/100</f>
        <v>1.5249999999999999</v>
      </c>
      <c r="P164" s="49">
        <f>0.04*C164/100</f>
        <v>0.1</v>
      </c>
      <c r="Q164" s="49">
        <v>3.35</v>
      </c>
      <c r="R164" s="233">
        <v>110401</v>
      </c>
      <c r="S164" s="233">
        <v>110402</v>
      </c>
    </row>
    <row r="165" spans="1:19" s="63" customFormat="1" x14ac:dyDescent="0.2">
      <c r="A165" s="49">
        <v>3</v>
      </c>
      <c r="B165" s="47" t="s">
        <v>124</v>
      </c>
      <c r="C165" s="41">
        <v>10</v>
      </c>
      <c r="D165" s="42">
        <f>11.1*C165/100</f>
        <v>1.1100000000000001</v>
      </c>
      <c r="E165" s="42">
        <f>3.79*C165/100</f>
        <v>0.379</v>
      </c>
      <c r="F165" s="42">
        <f>76.15*C165/100</f>
        <v>7.6150000000000002</v>
      </c>
      <c r="G165" s="42">
        <f>390.39*C165/100</f>
        <v>39.038999999999994</v>
      </c>
      <c r="H165" s="42">
        <f>0.61*C165/100</f>
        <v>6.0999999999999999E-2</v>
      </c>
      <c r="I165" s="42">
        <f>0*C165/100</f>
        <v>0</v>
      </c>
      <c r="J165" s="42">
        <f>0*C165/100</f>
        <v>0</v>
      </c>
      <c r="K165" s="42">
        <f>0*C165/100</f>
        <v>0</v>
      </c>
      <c r="L165" s="48">
        <f>211.78*C165/100</f>
        <v>21.178000000000001</v>
      </c>
      <c r="M165" s="48">
        <f>0.25*C165/100</f>
        <v>2.5000000000000001E-2</v>
      </c>
      <c r="N165" s="48">
        <f>22.8*C165/100</f>
        <v>2.2799999999999998</v>
      </c>
      <c r="O165" s="42">
        <f>0.002*C165/100</f>
        <v>2.0000000000000001E-4</v>
      </c>
      <c r="P165" s="49">
        <f>0.44*C165/100</f>
        <v>4.4000000000000004E-2</v>
      </c>
      <c r="Q165" s="49">
        <v>0</v>
      </c>
      <c r="R165" s="233">
        <v>180601</v>
      </c>
      <c r="S165" s="233"/>
    </row>
    <row r="166" spans="1:19" s="63" customFormat="1" x14ac:dyDescent="0.2">
      <c r="A166" s="49">
        <v>4</v>
      </c>
      <c r="B166" s="47" t="s">
        <v>198</v>
      </c>
      <c r="C166" s="41">
        <v>100</v>
      </c>
      <c r="D166" s="42">
        <f>14*C166/100</f>
        <v>14</v>
      </c>
      <c r="E166" s="42">
        <f>7.1*C166/100</f>
        <v>7.1</v>
      </c>
      <c r="F166" s="42">
        <f>14.2*C166/100</f>
        <v>14.2</v>
      </c>
      <c r="G166" s="42">
        <f>176.7*C166/100</f>
        <v>176.7</v>
      </c>
      <c r="H166" s="42">
        <f>0.05*C166/100</f>
        <v>0.05</v>
      </c>
      <c r="I166" s="42">
        <f>2.59*C166/100</f>
        <v>2.59</v>
      </c>
      <c r="J166" s="42">
        <f>1.44*C166/100</f>
        <v>1.44</v>
      </c>
      <c r="K166" s="42">
        <f>1.27*C166/100</f>
        <v>1.27</v>
      </c>
      <c r="L166" s="48">
        <f>14.01*C166/100</f>
        <v>14.01</v>
      </c>
      <c r="M166" s="48">
        <f>129.66*C166/100</f>
        <v>129.66</v>
      </c>
      <c r="N166" s="48">
        <f>20.62*C166/100</f>
        <v>20.62</v>
      </c>
      <c r="O166" s="42">
        <f>1.75*C166/100</f>
        <v>1.75</v>
      </c>
      <c r="P166" s="49">
        <v>0.1</v>
      </c>
      <c r="Q166" s="49">
        <v>3.83</v>
      </c>
      <c r="R166" s="67">
        <v>120611</v>
      </c>
      <c r="S166" s="67">
        <v>120612</v>
      </c>
    </row>
    <row r="167" spans="1:19" s="63" customFormat="1" x14ac:dyDescent="0.2">
      <c r="A167" s="49">
        <v>5</v>
      </c>
      <c r="B167" s="47" t="s">
        <v>136</v>
      </c>
      <c r="C167" s="41">
        <v>150</v>
      </c>
      <c r="D167" s="42">
        <f>1.6*C167/100</f>
        <v>2.4</v>
      </c>
      <c r="E167" s="42">
        <f>3.1*C167/100</f>
        <v>4.6500000000000004</v>
      </c>
      <c r="F167" s="42">
        <f>10.1*C167/100</f>
        <v>15.15</v>
      </c>
      <c r="G167" s="42">
        <f>75*C167/100</f>
        <v>112.5</v>
      </c>
      <c r="H167" s="94">
        <f>0.05*C167/100</f>
        <v>7.4999999999999997E-2</v>
      </c>
      <c r="I167" s="94">
        <f>6.26*C167/100</f>
        <v>9.39</v>
      </c>
      <c r="J167" s="94">
        <f>0*C167/100</f>
        <v>0</v>
      </c>
      <c r="K167" s="94">
        <f>1.98*C167/100</f>
        <v>2.97</v>
      </c>
      <c r="L167" s="124">
        <f>21.42*C167/100</f>
        <v>32.130000000000003</v>
      </c>
      <c r="M167" s="124">
        <f>45.07*C167/100</f>
        <v>67.605000000000004</v>
      </c>
      <c r="N167" s="124">
        <f>19.28*C167/100</f>
        <v>28.92</v>
      </c>
      <c r="O167" s="94">
        <f>0.71*C167/100</f>
        <v>1.0649999999999999</v>
      </c>
      <c r="P167" s="49">
        <f>0.05*C167/100</f>
        <v>7.4999999999999997E-2</v>
      </c>
      <c r="Q167" s="49">
        <v>4.8899999999999997</v>
      </c>
      <c r="R167" s="233">
        <v>130203</v>
      </c>
      <c r="S167" s="233">
        <v>130204</v>
      </c>
    </row>
    <row r="168" spans="1:19" s="64" customFormat="1" ht="42" customHeight="1" x14ac:dyDescent="0.25">
      <c r="A168" s="49">
        <v>6</v>
      </c>
      <c r="B168" s="47" t="s">
        <v>168</v>
      </c>
      <c r="C168" s="41">
        <v>200</v>
      </c>
      <c r="D168" s="42">
        <f>0.05*C168/100</f>
        <v>0.1</v>
      </c>
      <c r="E168" s="42">
        <f>0.02*C168/100</f>
        <v>0.04</v>
      </c>
      <c r="F168" s="42">
        <f>8.79*C168/100</f>
        <v>17.579999999999998</v>
      </c>
      <c r="G168" s="42">
        <f>26.86*C168/100</f>
        <v>53.72</v>
      </c>
      <c r="H168" s="42">
        <v>0</v>
      </c>
      <c r="I168" s="42">
        <f>1.5*C168/100</f>
        <v>3</v>
      </c>
      <c r="J168" s="42">
        <v>0</v>
      </c>
      <c r="K168" s="42">
        <v>0</v>
      </c>
      <c r="L168" s="42">
        <f>7.55*C168/100</f>
        <v>15.1</v>
      </c>
      <c r="M168" s="42">
        <f>4.57*C168/100</f>
        <v>9.14</v>
      </c>
      <c r="N168" s="42">
        <f>2.45*C168/100</f>
        <v>4.9000000000000004</v>
      </c>
      <c r="O168" s="42">
        <f>0.07*C168/100</f>
        <v>0.14000000000000001</v>
      </c>
      <c r="P168" s="49">
        <v>0</v>
      </c>
      <c r="Q168" s="49">
        <v>0</v>
      </c>
      <c r="R168" s="235">
        <v>160202</v>
      </c>
      <c r="S168" s="235"/>
    </row>
    <row r="169" spans="1:19" s="63" customFormat="1" x14ac:dyDescent="0.2">
      <c r="A169" s="49">
        <v>7</v>
      </c>
      <c r="B169" s="47" t="s">
        <v>160</v>
      </c>
      <c r="C169" s="41">
        <v>40</v>
      </c>
      <c r="D169" s="42">
        <f>7.76*C169/100</f>
        <v>3.1039999999999996</v>
      </c>
      <c r="E169" s="42">
        <f>2.65*C169/100</f>
        <v>1.06</v>
      </c>
      <c r="F169" s="42">
        <f>53.25*C169/100</f>
        <v>21.3</v>
      </c>
      <c r="G169" s="42">
        <f>273*C169/100</f>
        <v>109.2</v>
      </c>
      <c r="H169" s="42">
        <f>0.34*C169/100</f>
        <v>0.13600000000000001</v>
      </c>
      <c r="I169" s="42">
        <f>0*C169/100</f>
        <v>0</v>
      </c>
      <c r="J169" s="42">
        <v>0</v>
      </c>
      <c r="K169" s="42">
        <f>1.5*C169/100</f>
        <v>0.6</v>
      </c>
      <c r="L169" s="48">
        <f>148.1*C169/100</f>
        <v>59.24</v>
      </c>
      <c r="M169" s="48">
        <f>0*C169/100</f>
        <v>0</v>
      </c>
      <c r="N169" s="48">
        <f>16*C169/100</f>
        <v>6.4</v>
      </c>
      <c r="O169" s="42">
        <f>2.4*C169/100</f>
        <v>0.96</v>
      </c>
      <c r="P169" s="56">
        <f>0.2*C169/100</f>
        <v>0.08</v>
      </c>
      <c r="Q169" s="56">
        <f>1.5*C169/100</f>
        <v>0.6</v>
      </c>
      <c r="R169" s="233">
        <v>200102</v>
      </c>
      <c r="S169" s="233"/>
    </row>
    <row r="170" spans="1:19" s="63" customFormat="1" x14ac:dyDescent="0.2">
      <c r="A170" s="49">
        <v>8</v>
      </c>
      <c r="B170" s="47" t="s">
        <v>159</v>
      </c>
      <c r="C170" s="41">
        <v>20</v>
      </c>
      <c r="D170" s="42">
        <f>5.86*C170/100</f>
        <v>1.1719999999999999</v>
      </c>
      <c r="E170" s="42">
        <f>0.94*C170/100</f>
        <v>0.18799999999999997</v>
      </c>
      <c r="F170" s="42">
        <f>44.4*C170/100</f>
        <v>8.8800000000000008</v>
      </c>
      <c r="G170" s="42">
        <f>189*C170/100</f>
        <v>37.799999999999997</v>
      </c>
      <c r="H170" s="42">
        <f>0.4*C170/100</f>
        <v>0.08</v>
      </c>
      <c r="I170" s="42">
        <f>0.03*C170/100</f>
        <v>6.0000000000000001E-3</v>
      </c>
      <c r="J170" s="42">
        <v>0</v>
      </c>
      <c r="K170" s="42">
        <f>1.7*C170/100</f>
        <v>0.34</v>
      </c>
      <c r="L170" s="48">
        <f>25.4*C170/100</f>
        <v>5.08</v>
      </c>
      <c r="M170" s="48">
        <f>105.53*C170/100</f>
        <v>21.105999999999998</v>
      </c>
      <c r="N170" s="48">
        <f>36.5*C170/100</f>
        <v>7.3</v>
      </c>
      <c r="O170" s="42">
        <f>2.45*C170/100</f>
        <v>0.49</v>
      </c>
      <c r="P170" s="56">
        <f>0.2*C170/100</f>
        <v>0.04</v>
      </c>
      <c r="Q170" s="56">
        <f>10*C170/100</f>
        <v>2</v>
      </c>
      <c r="R170" s="233">
        <v>200103</v>
      </c>
      <c r="S170" s="233"/>
    </row>
    <row r="171" spans="1:19" s="53" customFormat="1" ht="15.75" customHeight="1" x14ac:dyDescent="0.3">
      <c r="A171" s="49">
        <v>9</v>
      </c>
      <c r="B171" s="47" t="s">
        <v>146</v>
      </c>
      <c r="C171" s="41">
        <v>18</v>
      </c>
      <c r="D171" s="42">
        <v>7.0000000000000007E-2</v>
      </c>
      <c r="E171" s="42">
        <v>0</v>
      </c>
      <c r="F171" s="42">
        <v>13.79</v>
      </c>
      <c r="G171" s="42">
        <v>52.74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55">
        <v>0</v>
      </c>
      <c r="Q171" s="55">
        <v>0</v>
      </c>
      <c r="R171" s="235"/>
      <c r="S171" s="235"/>
    </row>
    <row r="172" spans="1:19" s="37" customFormat="1" x14ac:dyDescent="0.2">
      <c r="A172" s="49"/>
      <c r="B172" s="132" t="s">
        <v>4</v>
      </c>
      <c r="C172" s="120"/>
      <c r="D172" s="168">
        <f t="shared" ref="D172:Q172" si="29">SUM(D163:D171)</f>
        <v>25.664000000000001</v>
      </c>
      <c r="E172" s="168">
        <f t="shared" si="29"/>
        <v>21.664999999999999</v>
      </c>
      <c r="F172" s="168">
        <f t="shared" si="29"/>
        <v>125.077</v>
      </c>
      <c r="G172" s="168">
        <f t="shared" si="29"/>
        <v>777.74900000000002</v>
      </c>
      <c r="H172" s="168">
        <f t="shared" si="29"/>
        <v>0.50700000000000001</v>
      </c>
      <c r="I172" s="168">
        <f t="shared" si="29"/>
        <v>83.644000000000005</v>
      </c>
      <c r="J172" s="168">
        <f t="shared" si="29"/>
        <v>1.4447159999999999</v>
      </c>
      <c r="K172" s="168">
        <f t="shared" si="29"/>
        <v>10.816000000000001</v>
      </c>
      <c r="L172" s="167">
        <f t="shared" si="29"/>
        <v>275.83399999999995</v>
      </c>
      <c r="M172" s="167">
        <f t="shared" si="29"/>
        <v>336.3</v>
      </c>
      <c r="N172" s="167">
        <f t="shared" si="29"/>
        <v>134.49300000000002</v>
      </c>
      <c r="O172" s="168">
        <f t="shared" si="29"/>
        <v>6.3201999999999998</v>
      </c>
      <c r="P172" s="49">
        <f t="shared" si="29"/>
        <v>0.47500000000000003</v>
      </c>
      <c r="Q172" s="49">
        <f t="shared" si="29"/>
        <v>17.29</v>
      </c>
      <c r="R172" s="233"/>
      <c r="S172" s="233"/>
    </row>
    <row r="173" spans="1:19" s="37" customFormat="1" x14ac:dyDescent="0.2">
      <c r="A173" s="299" t="s">
        <v>35</v>
      </c>
      <c r="B173" s="299"/>
      <c r="C173" s="299"/>
      <c r="D173" s="299"/>
      <c r="E173" s="299"/>
      <c r="F173" s="299"/>
      <c r="G173" s="280"/>
      <c r="H173" s="280"/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80"/>
    </row>
    <row r="174" spans="1:19" s="63" customFormat="1" ht="24" customHeight="1" x14ac:dyDescent="0.2">
      <c r="A174" s="49">
        <v>1</v>
      </c>
      <c r="B174" s="47" t="s">
        <v>161</v>
      </c>
      <c r="C174" s="59">
        <v>200</v>
      </c>
      <c r="D174" s="60">
        <f>3*C174/100</f>
        <v>6</v>
      </c>
      <c r="E174" s="60">
        <f>3.2*C174/100</f>
        <v>6.4</v>
      </c>
      <c r="F174" s="60">
        <f>4.7*C174/100</f>
        <v>9.4</v>
      </c>
      <c r="G174" s="42">
        <f>60*C174/100</f>
        <v>120</v>
      </c>
      <c r="H174" s="49">
        <f>0.18*C174/100</f>
        <v>0.36</v>
      </c>
      <c r="I174" s="49">
        <f>10*C174/100</f>
        <v>20</v>
      </c>
      <c r="J174" s="49">
        <v>0</v>
      </c>
      <c r="K174" s="49">
        <v>0</v>
      </c>
      <c r="L174" s="48">
        <v>0</v>
      </c>
      <c r="M174" s="48">
        <v>0</v>
      </c>
      <c r="N174" s="48">
        <v>0</v>
      </c>
      <c r="O174" s="49">
        <v>0</v>
      </c>
      <c r="P174" s="49">
        <v>0</v>
      </c>
      <c r="Q174" s="49">
        <f>9*C174/100</f>
        <v>18</v>
      </c>
      <c r="R174" s="233"/>
      <c r="S174" s="233"/>
    </row>
    <row r="175" spans="1:19" s="63" customFormat="1" x14ac:dyDescent="0.2">
      <c r="A175" s="49">
        <v>2</v>
      </c>
      <c r="B175" s="47" t="s">
        <v>186</v>
      </c>
      <c r="C175" s="41">
        <v>50</v>
      </c>
      <c r="D175" s="184">
        <f>5.7*C175/100</f>
        <v>2.85</v>
      </c>
      <c r="E175" s="184">
        <f>20.3*C175/100</f>
        <v>10.15</v>
      </c>
      <c r="F175" s="184">
        <f>57.3*C175/100</f>
        <v>28.65</v>
      </c>
      <c r="G175" s="184">
        <f>430.7*C175/100</f>
        <v>215.35</v>
      </c>
      <c r="H175" s="42">
        <f>0.12*C175/100</f>
        <v>0.06</v>
      </c>
      <c r="I175" s="42">
        <f>0*C175/100</f>
        <v>0</v>
      </c>
      <c r="J175" s="42">
        <f>0.13*C175/100</f>
        <v>6.5000000000000002E-2</v>
      </c>
      <c r="K175" s="42">
        <f>5.55*C175/100</f>
        <v>2.7749999999999999</v>
      </c>
      <c r="L175" s="48">
        <f>44.66*C175/100</f>
        <v>22.33</v>
      </c>
      <c r="M175" s="48">
        <f>148.03*C175/100</f>
        <v>74.015000000000001</v>
      </c>
      <c r="N175" s="48">
        <f>21.6*C175/100</f>
        <v>10.8</v>
      </c>
      <c r="O175" s="42">
        <f>1.35*C175/100</f>
        <v>0.67500000000000004</v>
      </c>
      <c r="P175" s="49">
        <v>0.03</v>
      </c>
      <c r="Q175" s="49">
        <v>0.83</v>
      </c>
      <c r="R175" s="233"/>
      <c r="S175" s="233">
        <v>170603</v>
      </c>
    </row>
    <row r="176" spans="1:19" s="37" customFormat="1" x14ac:dyDescent="0.2">
      <c r="A176" s="49"/>
      <c r="B176" s="151" t="s">
        <v>4</v>
      </c>
      <c r="C176" s="109"/>
      <c r="D176" s="169">
        <f t="shared" ref="D176:Q176" si="30">SUM(D174:D175)</f>
        <v>8.85</v>
      </c>
      <c r="E176" s="169">
        <f t="shared" si="30"/>
        <v>16.55</v>
      </c>
      <c r="F176" s="169">
        <f t="shared" si="30"/>
        <v>38.049999999999997</v>
      </c>
      <c r="G176" s="169">
        <f t="shared" si="30"/>
        <v>335.35</v>
      </c>
      <c r="H176" s="169">
        <f t="shared" si="30"/>
        <v>0.42</v>
      </c>
      <c r="I176" s="169">
        <f t="shared" si="30"/>
        <v>20</v>
      </c>
      <c r="J176" s="169">
        <f t="shared" si="30"/>
        <v>6.5000000000000002E-2</v>
      </c>
      <c r="K176" s="169">
        <f t="shared" si="30"/>
        <v>2.7749999999999999</v>
      </c>
      <c r="L176" s="169">
        <f t="shared" si="30"/>
        <v>22.33</v>
      </c>
      <c r="M176" s="169">
        <f t="shared" si="30"/>
        <v>74.015000000000001</v>
      </c>
      <c r="N176" s="169">
        <f t="shared" si="30"/>
        <v>10.8</v>
      </c>
      <c r="O176" s="169">
        <f t="shared" si="30"/>
        <v>0.67500000000000004</v>
      </c>
      <c r="P176" s="169">
        <f t="shared" si="30"/>
        <v>0.03</v>
      </c>
      <c r="Q176" s="169">
        <f t="shared" si="30"/>
        <v>18.829999999999998</v>
      </c>
      <c r="R176" s="233"/>
      <c r="S176" s="233"/>
    </row>
    <row r="177" spans="1:19" s="37" customFormat="1" x14ac:dyDescent="0.2">
      <c r="A177" s="49"/>
      <c r="B177" s="132" t="s">
        <v>7</v>
      </c>
      <c r="C177" s="120"/>
      <c r="D177" s="168">
        <f t="shared" ref="D177:Q177" si="31">D161+D172+D176</f>
        <v>49.904000000000003</v>
      </c>
      <c r="E177" s="168">
        <f t="shared" si="31"/>
        <v>54.739999999999995</v>
      </c>
      <c r="F177" s="168">
        <f t="shared" si="31"/>
        <v>244.27199999999999</v>
      </c>
      <c r="G177" s="168">
        <f t="shared" si="31"/>
        <v>1693.2440000000001</v>
      </c>
      <c r="H177" s="168">
        <f t="shared" si="31"/>
        <v>1.0820000000000001</v>
      </c>
      <c r="I177" s="168">
        <f t="shared" si="31"/>
        <v>111.64400000000001</v>
      </c>
      <c r="J177" s="168">
        <f t="shared" si="31"/>
        <v>1.5947159999999998</v>
      </c>
      <c r="K177" s="168">
        <f t="shared" si="31"/>
        <v>14.996</v>
      </c>
      <c r="L177" s="167">
        <f t="shared" si="31"/>
        <v>517.18899999999996</v>
      </c>
      <c r="M177" s="167">
        <f t="shared" si="31"/>
        <v>614.91</v>
      </c>
      <c r="N177" s="167">
        <f t="shared" si="31"/>
        <v>188.43300000000005</v>
      </c>
      <c r="O177" s="168">
        <f t="shared" si="31"/>
        <v>8.5082000000000004</v>
      </c>
      <c r="P177" s="168">
        <f t="shared" si="31"/>
        <v>0.65500000000000003</v>
      </c>
      <c r="Q177" s="168">
        <f t="shared" si="31"/>
        <v>40.58</v>
      </c>
      <c r="R177" s="233"/>
      <c r="S177" s="233"/>
    </row>
    <row r="178" spans="1:19" s="37" customFormat="1" x14ac:dyDescent="0.2">
      <c r="A178" s="279" t="s">
        <v>48</v>
      </c>
      <c r="B178" s="279"/>
      <c r="C178" s="279"/>
      <c r="D178" s="279"/>
      <c r="E178" s="279"/>
      <c r="F178" s="279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</row>
    <row r="179" spans="1:19" s="37" customFormat="1" x14ac:dyDescent="0.2">
      <c r="A179" s="279" t="s">
        <v>3</v>
      </c>
      <c r="B179" s="279"/>
      <c r="C179" s="279"/>
      <c r="D179" s="279"/>
      <c r="E179" s="279"/>
      <c r="F179" s="279"/>
      <c r="G179" s="280"/>
      <c r="H179" s="280"/>
      <c r="I179" s="280"/>
      <c r="J179" s="280"/>
      <c r="K179" s="280"/>
      <c r="L179" s="280"/>
      <c r="M179" s="280"/>
      <c r="N179" s="280"/>
      <c r="O179" s="280"/>
      <c r="P179" s="280"/>
      <c r="Q179" s="280"/>
      <c r="R179" s="280"/>
      <c r="S179" s="280"/>
    </row>
    <row r="180" spans="1:19" s="63" customFormat="1" x14ac:dyDescent="0.2">
      <c r="A180" s="49">
        <v>1</v>
      </c>
      <c r="B180" s="47" t="s">
        <v>213</v>
      </c>
      <c r="C180" s="41">
        <v>150</v>
      </c>
      <c r="D180" s="42">
        <f>8.08*C180/100</f>
        <v>12.12</v>
      </c>
      <c r="E180" s="42">
        <f>9.12*C180/100</f>
        <v>13.679999999999998</v>
      </c>
      <c r="F180" s="42">
        <f>1.44*C180/100</f>
        <v>2.16</v>
      </c>
      <c r="G180" s="42">
        <f>119.71*C180/100</f>
        <v>179.565</v>
      </c>
      <c r="H180" s="42">
        <f>0.05*C180/100</f>
        <v>7.4999999999999997E-2</v>
      </c>
      <c r="I180" s="42">
        <f>1.5*C180/100</f>
        <v>2.25</v>
      </c>
      <c r="J180" s="42">
        <f>0*C180/100</f>
        <v>0</v>
      </c>
      <c r="K180" s="42">
        <f>0*C180/100</f>
        <v>0</v>
      </c>
      <c r="L180" s="48">
        <f>0.48*C180/100</f>
        <v>0.72</v>
      </c>
      <c r="M180" s="48">
        <f>0.6*C180/100</f>
        <v>0.9</v>
      </c>
      <c r="N180" s="48">
        <f>0*C180/100</f>
        <v>0</v>
      </c>
      <c r="O180" s="42">
        <f>0*C180/100</f>
        <v>0</v>
      </c>
      <c r="P180" s="49">
        <v>0</v>
      </c>
      <c r="Q180" s="49">
        <v>3.5</v>
      </c>
      <c r="R180" s="233">
        <v>120301</v>
      </c>
      <c r="S180" s="233"/>
    </row>
    <row r="181" spans="1:19" s="63" customFormat="1" x14ac:dyDescent="0.2">
      <c r="A181" s="49">
        <v>2</v>
      </c>
      <c r="B181" s="47" t="s">
        <v>31</v>
      </c>
      <c r="C181" s="59">
        <v>200</v>
      </c>
      <c r="D181" s="60">
        <v>0</v>
      </c>
      <c r="E181" s="60">
        <v>0</v>
      </c>
      <c r="F181" s="60">
        <f>4.99*C181/100</f>
        <v>9.98</v>
      </c>
      <c r="G181" s="42">
        <f>19.95*C181/100</f>
        <v>39.9</v>
      </c>
      <c r="H181" s="42">
        <v>0</v>
      </c>
      <c r="I181" s="42">
        <v>0</v>
      </c>
      <c r="J181" s="42">
        <v>0</v>
      </c>
      <c r="K181" s="42">
        <v>0</v>
      </c>
      <c r="L181" s="48">
        <f>8.15*C181/100</f>
        <v>16.3</v>
      </c>
      <c r="M181" s="48">
        <f>0.02*C181/100</f>
        <v>0.04</v>
      </c>
      <c r="N181" s="48">
        <f>1.79*C181/100</f>
        <v>3.58</v>
      </c>
      <c r="O181" s="42">
        <f>0.02*C181/100</f>
        <v>0.04</v>
      </c>
      <c r="P181" s="49">
        <f>0.01*C181/100</f>
        <v>0.02</v>
      </c>
      <c r="Q181" s="49">
        <v>0.48</v>
      </c>
      <c r="R181" s="233">
        <v>160105</v>
      </c>
      <c r="S181" s="233"/>
    </row>
    <row r="182" spans="1:19" s="52" customFormat="1" x14ac:dyDescent="0.2">
      <c r="A182" s="49">
        <v>3</v>
      </c>
      <c r="B182" s="47" t="s">
        <v>239</v>
      </c>
      <c r="C182" s="41">
        <v>30</v>
      </c>
      <c r="D182" s="166">
        <f>10*C182/100</f>
        <v>3</v>
      </c>
      <c r="E182" s="166">
        <f>8*C182/100</f>
        <v>2.4</v>
      </c>
      <c r="F182" s="166">
        <f>9*C182/100</f>
        <v>2.7</v>
      </c>
      <c r="G182" s="166">
        <f>148*C182/100</f>
        <v>44.4</v>
      </c>
      <c r="H182" s="42">
        <v>0</v>
      </c>
      <c r="I182" s="42">
        <v>0</v>
      </c>
      <c r="J182" s="42">
        <v>0</v>
      </c>
      <c r="K182" s="42">
        <v>0</v>
      </c>
      <c r="L182" s="48">
        <f>22*C182/100</f>
        <v>6.6</v>
      </c>
      <c r="M182" s="48">
        <f>268*C182/100</f>
        <v>80.400000000000006</v>
      </c>
      <c r="N182" s="48">
        <f>35*C182/100</f>
        <v>10.5</v>
      </c>
      <c r="O182" s="42">
        <f>2.6*C182/100</f>
        <v>0.78</v>
      </c>
      <c r="P182" s="49">
        <v>0</v>
      </c>
      <c r="Q182" s="49">
        <v>0</v>
      </c>
      <c r="R182" s="233">
        <v>100101</v>
      </c>
      <c r="S182" s="233"/>
    </row>
    <row r="183" spans="1:19" s="63" customFormat="1" ht="37.5" x14ac:dyDescent="0.2">
      <c r="A183" s="49">
        <v>4</v>
      </c>
      <c r="B183" s="47" t="s">
        <v>164</v>
      </c>
      <c r="C183" s="41">
        <v>10</v>
      </c>
      <c r="D183" s="42">
        <f>0.5*C183/100</f>
        <v>0.05</v>
      </c>
      <c r="E183" s="42">
        <f>82.5*C183/100</f>
        <v>8.25</v>
      </c>
      <c r="F183" s="42">
        <f>0.8*C183/100</f>
        <v>0.08</v>
      </c>
      <c r="G183" s="42">
        <f>748*C183/100</f>
        <v>74.8</v>
      </c>
      <c r="H183" s="42">
        <v>0</v>
      </c>
      <c r="I183" s="42">
        <v>0</v>
      </c>
      <c r="J183" s="42">
        <f>0.4*C183/100</f>
        <v>0.04</v>
      </c>
      <c r="K183" s="42">
        <f>1*C183/100</f>
        <v>0.1</v>
      </c>
      <c r="L183" s="48">
        <f>12*C183/100</f>
        <v>1.2</v>
      </c>
      <c r="M183" s="48">
        <f>19*C183/100</f>
        <v>1.9</v>
      </c>
      <c r="N183" s="48">
        <f>0*C183/100</f>
        <v>0</v>
      </c>
      <c r="O183" s="42">
        <f>0.2*C183/100</f>
        <v>0.02</v>
      </c>
      <c r="P183" s="56">
        <f>0.1*C183/100</f>
        <v>0.01</v>
      </c>
      <c r="Q183" s="49">
        <v>0</v>
      </c>
      <c r="R183" s="233"/>
      <c r="S183" s="233"/>
    </row>
    <row r="184" spans="1:19" s="63" customFormat="1" x14ac:dyDescent="0.2">
      <c r="A184" s="49">
        <v>5</v>
      </c>
      <c r="B184" s="47" t="s">
        <v>160</v>
      </c>
      <c r="C184" s="41">
        <v>20</v>
      </c>
      <c r="D184" s="42">
        <f>7.76*C184/100</f>
        <v>1.5519999999999998</v>
      </c>
      <c r="E184" s="42">
        <f>2.65*C184/100</f>
        <v>0.53</v>
      </c>
      <c r="F184" s="42">
        <f>53.25*C184/100</f>
        <v>10.65</v>
      </c>
      <c r="G184" s="42">
        <f>273*C184/100</f>
        <v>54.6</v>
      </c>
      <c r="H184" s="42">
        <f>0.34*C184/100</f>
        <v>6.8000000000000005E-2</v>
      </c>
      <c r="I184" s="42">
        <f>0*C184/100</f>
        <v>0</v>
      </c>
      <c r="J184" s="42">
        <v>0</v>
      </c>
      <c r="K184" s="42">
        <f>1.5*C184/100</f>
        <v>0.3</v>
      </c>
      <c r="L184" s="48">
        <f>148.1*C184/100</f>
        <v>29.62</v>
      </c>
      <c r="M184" s="48">
        <f>0*C184/100</f>
        <v>0</v>
      </c>
      <c r="N184" s="48">
        <f>16*C184/100</f>
        <v>3.2</v>
      </c>
      <c r="O184" s="42">
        <f>2.4*C184/100</f>
        <v>0.48</v>
      </c>
      <c r="P184" s="56">
        <f>0.2*C184/100</f>
        <v>0.04</v>
      </c>
      <c r="Q184" s="56">
        <f>1.5*C184/100</f>
        <v>0.3</v>
      </c>
      <c r="R184" s="233">
        <v>200102</v>
      </c>
      <c r="S184" s="233"/>
    </row>
    <row r="185" spans="1:19" s="249" customFormat="1" x14ac:dyDescent="0.25">
      <c r="A185" s="269">
        <v>6</v>
      </c>
      <c r="B185" s="47" t="s">
        <v>275</v>
      </c>
      <c r="C185" s="269" t="s">
        <v>274</v>
      </c>
      <c r="D185" s="269">
        <v>0.3</v>
      </c>
      <c r="E185" s="269">
        <v>0</v>
      </c>
      <c r="F185" s="269">
        <v>27.9</v>
      </c>
      <c r="G185" s="269">
        <v>112.8</v>
      </c>
      <c r="H185" s="269">
        <v>0</v>
      </c>
      <c r="I185" s="269">
        <v>0</v>
      </c>
      <c r="J185" s="269">
        <v>0</v>
      </c>
      <c r="K185" s="269">
        <v>0</v>
      </c>
      <c r="L185" s="269">
        <v>0</v>
      </c>
      <c r="M185" s="269">
        <v>0</v>
      </c>
      <c r="N185" s="269">
        <v>0</v>
      </c>
      <c r="O185" s="269">
        <v>0</v>
      </c>
      <c r="P185" s="269">
        <v>0</v>
      </c>
      <c r="Q185" s="269">
        <v>0</v>
      </c>
      <c r="R185" s="269"/>
      <c r="S185" s="248"/>
    </row>
    <row r="186" spans="1:19" s="37" customFormat="1" x14ac:dyDescent="0.2">
      <c r="A186" s="49"/>
      <c r="B186" s="132" t="s">
        <v>4</v>
      </c>
      <c r="C186" s="120"/>
      <c r="D186" s="169">
        <f t="shared" ref="D186:Q186" si="32">SUM(D180:D185)</f>
        <v>17.022000000000002</v>
      </c>
      <c r="E186" s="169">
        <f t="shared" si="32"/>
        <v>24.86</v>
      </c>
      <c r="F186" s="169">
        <f t="shared" si="32"/>
        <v>53.47</v>
      </c>
      <c r="G186" s="169">
        <f t="shared" si="32"/>
        <v>506.06500000000005</v>
      </c>
      <c r="H186" s="169">
        <f t="shared" si="32"/>
        <v>0.14300000000000002</v>
      </c>
      <c r="I186" s="169">
        <f t="shared" si="32"/>
        <v>2.25</v>
      </c>
      <c r="J186" s="169">
        <f t="shared" si="32"/>
        <v>0.04</v>
      </c>
      <c r="K186" s="169">
        <f t="shared" si="32"/>
        <v>0.4</v>
      </c>
      <c r="L186" s="152">
        <f t="shared" si="32"/>
        <v>54.44</v>
      </c>
      <c r="M186" s="152">
        <f t="shared" si="32"/>
        <v>83.240000000000009</v>
      </c>
      <c r="N186" s="152">
        <f t="shared" si="32"/>
        <v>17.28</v>
      </c>
      <c r="O186" s="169">
        <f t="shared" si="32"/>
        <v>1.32</v>
      </c>
      <c r="P186" s="125">
        <f t="shared" si="32"/>
        <v>7.0000000000000007E-2</v>
      </c>
      <c r="Q186" s="125">
        <f t="shared" si="32"/>
        <v>4.28</v>
      </c>
      <c r="R186" s="233"/>
      <c r="S186" s="233"/>
    </row>
    <row r="187" spans="1:19" s="37" customFormat="1" ht="18" x14ac:dyDescent="0.2">
      <c r="A187" s="279" t="s">
        <v>5</v>
      </c>
      <c r="B187" s="280"/>
      <c r="C187" s="280"/>
      <c r="D187" s="280"/>
      <c r="E187" s="280"/>
      <c r="F187" s="280"/>
      <c r="G187" s="280"/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</row>
    <row r="188" spans="1:19" s="63" customFormat="1" ht="37.5" x14ac:dyDescent="0.2">
      <c r="A188" s="49">
        <v>1</v>
      </c>
      <c r="B188" s="47" t="s">
        <v>208</v>
      </c>
      <c r="C188" s="182">
        <v>60</v>
      </c>
      <c r="D188" s="42">
        <f>1.67*C188/100</f>
        <v>1.0019999999999998</v>
      </c>
      <c r="E188" s="42">
        <f>10.1*C188/100</f>
        <v>6.06</v>
      </c>
      <c r="F188" s="42">
        <f>7.09*C188/100</f>
        <v>4.2539999999999996</v>
      </c>
      <c r="G188" s="42">
        <f>126.48*C188/100</f>
        <v>75.888000000000005</v>
      </c>
      <c r="H188" s="94">
        <f>0.03*C188/100</f>
        <v>1.7999999999999999E-2</v>
      </c>
      <c r="I188" s="94">
        <f>7.92*C188/100</f>
        <v>4.7519999999999998</v>
      </c>
      <c r="J188" s="94">
        <v>0</v>
      </c>
      <c r="K188" s="94">
        <f>1.82*C188/100</f>
        <v>1.0920000000000001</v>
      </c>
      <c r="L188" s="124">
        <f>30.01*C188/100</f>
        <v>18.006</v>
      </c>
      <c r="M188" s="124">
        <f>42.07*C188/100</f>
        <v>25.241999999999997</v>
      </c>
      <c r="N188" s="124">
        <f>19.26*C188/100</f>
        <v>11.556000000000001</v>
      </c>
      <c r="O188" s="94">
        <f>1.13*C188/100</f>
        <v>0.67799999999999994</v>
      </c>
      <c r="P188" s="49">
        <f>0.04*C188/100</f>
        <v>2.4E-2</v>
      </c>
      <c r="Q188" s="49">
        <v>1.1299999999999999</v>
      </c>
      <c r="R188" s="233">
        <v>100402</v>
      </c>
      <c r="S188" s="233"/>
    </row>
    <row r="189" spans="1:19" s="63" customFormat="1" x14ac:dyDescent="0.2">
      <c r="A189" s="49">
        <v>2</v>
      </c>
      <c r="B189" s="47" t="s">
        <v>158</v>
      </c>
      <c r="C189" s="41">
        <v>250</v>
      </c>
      <c r="D189" s="42">
        <f>0.7*C189/100</f>
        <v>1.75</v>
      </c>
      <c r="E189" s="42">
        <f>2*C189/100</f>
        <v>5</v>
      </c>
      <c r="F189" s="42">
        <f>6.4*C189/100</f>
        <v>16</v>
      </c>
      <c r="G189" s="42">
        <f>46.4*C189/100</f>
        <v>116</v>
      </c>
      <c r="H189" s="94">
        <f>0.02*C189/100</f>
        <v>0.05</v>
      </c>
      <c r="I189" s="94">
        <f>4.58*C189/100</f>
        <v>11.45</v>
      </c>
      <c r="J189" s="94">
        <v>0</v>
      </c>
      <c r="K189" s="94">
        <f>1.08*C189/100</f>
        <v>2.7</v>
      </c>
      <c r="L189" s="124">
        <f>20.61*C189/100</f>
        <v>51.524999999999999</v>
      </c>
      <c r="M189" s="124">
        <f>30.3*C189/100</f>
        <v>75.75</v>
      </c>
      <c r="N189" s="124">
        <f>10.71*C189/100</f>
        <v>26.774999999999999</v>
      </c>
      <c r="O189" s="94">
        <f>0.35*C189/100</f>
        <v>0.875</v>
      </c>
      <c r="P189" s="49">
        <f>0.02*C189/100</f>
        <v>0.05</v>
      </c>
      <c r="Q189" s="49">
        <v>2.13</v>
      </c>
      <c r="R189" s="233">
        <v>110322</v>
      </c>
      <c r="S189" s="233">
        <v>110323</v>
      </c>
    </row>
    <row r="190" spans="1:19" s="63" customFormat="1" x14ac:dyDescent="0.2">
      <c r="A190" s="49">
        <v>3</v>
      </c>
      <c r="B190" s="47" t="s">
        <v>190</v>
      </c>
      <c r="C190" s="41">
        <v>100</v>
      </c>
      <c r="D190" s="42">
        <f>17.83*C190/100</f>
        <v>17.829999999999998</v>
      </c>
      <c r="E190" s="42">
        <f>0.93*C190/100</f>
        <v>0.93</v>
      </c>
      <c r="F190" s="42">
        <f>0.45*C190/100</f>
        <v>0.45</v>
      </c>
      <c r="G190" s="42">
        <f>149.16*C190/100</f>
        <v>149.16</v>
      </c>
      <c r="H190" s="42">
        <f>0*C190/100</f>
        <v>0</v>
      </c>
      <c r="I190" s="42">
        <f>0.41*C190/100</f>
        <v>0.41</v>
      </c>
      <c r="J190" s="42">
        <f>0*C190/100</f>
        <v>0</v>
      </c>
      <c r="K190" s="42">
        <f>C190*0.01/100</f>
        <v>0.01</v>
      </c>
      <c r="L190" s="48">
        <f>C190*44.29/100</f>
        <v>44.29</v>
      </c>
      <c r="M190" s="48">
        <f>C190*294.74/100</f>
        <v>294.74</v>
      </c>
      <c r="N190" s="48">
        <f>C190*19.83/100</f>
        <v>19.829999999999998</v>
      </c>
      <c r="O190" s="42">
        <f>C190*0.02/100</f>
        <v>0.02</v>
      </c>
      <c r="P190" s="49">
        <f>0.14*C190/100</f>
        <v>0.14000000000000001</v>
      </c>
      <c r="Q190" s="49">
        <v>5</v>
      </c>
      <c r="R190" s="233">
        <v>120405</v>
      </c>
      <c r="S190" s="233"/>
    </row>
    <row r="191" spans="1:19" s="63" customFormat="1" x14ac:dyDescent="0.2">
      <c r="A191" s="49">
        <v>4</v>
      </c>
      <c r="B191" s="47" t="s">
        <v>183</v>
      </c>
      <c r="C191" s="41">
        <v>150</v>
      </c>
      <c r="D191" s="42">
        <f>2.095*C191/100</f>
        <v>3.1425000000000005</v>
      </c>
      <c r="E191" s="42">
        <f>5.135*C191/100</f>
        <v>7.7024999999999997</v>
      </c>
      <c r="F191" s="42">
        <f>12.04*C191/100</f>
        <v>18.059999999999999</v>
      </c>
      <c r="G191" s="42">
        <f>93.4*C191/100</f>
        <v>140.1</v>
      </c>
      <c r="H191" s="94">
        <f>0.1*C191/100</f>
        <v>0.15</v>
      </c>
      <c r="I191" s="94">
        <f>13.71*C191/100</f>
        <v>20.565000000000001</v>
      </c>
      <c r="J191" s="94">
        <f>0.02*C191/100</f>
        <v>0.03</v>
      </c>
      <c r="K191" s="94">
        <f>0.15*C191/100</f>
        <v>0.22500000000000001</v>
      </c>
      <c r="L191" s="124">
        <f>9.35*C191/100</f>
        <v>14.025</v>
      </c>
      <c r="M191" s="124">
        <f>51.96*C191/100</f>
        <v>77.94</v>
      </c>
      <c r="N191" s="124">
        <f>19.14*C191/100</f>
        <v>28.71</v>
      </c>
      <c r="O191" s="94">
        <f>0.77*C191/100</f>
        <v>1.155</v>
      </c>
      <c r="P191" s="49">
        <f>0.06*C191/100</f>
        <v>0.09</v>
      </c>
      <c r="Q191" s="49">
        <v>4.8899999999999997</v>
      </c>
      <c r="R191" s="233">
        <v>130103</v>
      </c>
      <c r="S191" s="233">
        <v>130104</v>
      </c>
    </row>
    <row r="192" spans="1:19" s="52" customFormat="1" ht="37.5" x14ac:dyDescent="0.2">
      <c r="A192" s="49">
        <v>5</v>
      </c>
      <c r="B192" s="47" t="s">
        <v>135</v>
      </c>
      <c r="C192" s="41">
        <v>200</v>
      </c>
      <c r="D192" s="42">
        <f>0.11*C192/100</f>
        <v>0.22</v>
      </c>
      <c r="E192" s="42">
        <f>0.04*C192/100</f>
        <v>0.08</v>
      </c>
      <c r="F192" s="42">
        <f>8.74*C192/100</f>
        <v>17.48</v>
      </c>
      <c r="G192" s="42">
        <f>26.78*C192/100</f>
        <v>53.56</v>
      </c>
      <c r="H192" s="42">
        <f>0*C192/100</f>
        <v>0</v>
      </c>
      <c r="I192" s="42">
        <f>22*C192/100</f>
        <v>44</v>
      </c>
      <c r="J192" s="42">
        <f>0*C192/100</f>
        <v>0</v>
      </c>
      <c r="K192" s="42">
        <f>0.08*C192/100</f>
        <v>0.16</v>
      </c>
      <c r="L192" s="48">
        <f>8.18*C192/100</f>
        <v>16.36</v>
      </c>
      <c r="M192" s="48">
        <f>3.63*C192/100</f>
        <v>7.26</v>
      </c>
      <c r="N192" s="48">
        <f>4.31*C192/100</f>
        <v>8.6199999999999992</v>
      </c>
      <c r="O192" s="42">
        <f>0.16*C192/100</f>
        <v>0.32</v>
      </c>
      <c r="P192" s="62">
        <v>0</v>
      </c>
      <c r="Q192" s="62">
        <v>2.3199999999999998</v>
      </c>
      <c r="R192" s="233">
        <v>160207</v>
      </c>
      <c r="S192" s="233"/>
    </row>
    <row r="193" spans="1:19" s="63" customFormat="1" x14ac:dyDescent="0.2">
      <c r="A193" s="49">
        <v>6</v>
      </c>
      <c r="B193" s="47" t="s">
        <v>160</v>
      </c>
      <c r="C193" s="41">
        <v>40</v>
      </c>
      <c r="D193" s="42">
        <f>7.76*C193/100</f>
        <v>3.1039999999999996</v>
      </c>
      <c r="E193" s="42">
        <f>2.65*C193/100</f>
        <v>1.06</v>
      </c>
      <c r="F193" s="42">
        <f>53.25*C193/100</f>
        <v>21.3</v>
      </c>
      <c r="G193" s="42">
        <f>273*C193/100</f>
        <v>109.2</v>
      </c>
      <c r="H193" s="42">
        <f>0.34*C193/100</f>
        <v>0.13600000000000001</v>
      </c>
      <c r="I193" s="42">
        <f>0*C193/100</f>
        <v>0</v>
      </c>
      <c r="J193" s="42">
        <v>0</v>
      </c>
      <c r="K193" s="42">
        <f>1.5*C193/100</f>
        <v>0.6</v>
      </c>
      <c r="L193" s="48">
        <f>148.1*C193/100</f>
        <v>59.24</v>
      </c>
      <c r="M193" s="48">
        <f>0*C193/100</f>
        <v>0</v>
      </c>
      <c r="N193" s="48">
        <f>16*C193/100</f>
        <v>6.4</v>
      </c>
      <c r="O193" s="42">
        <f>2.4*C193/100</f>
        <v>0.96</v>
      </c>
      <c r="P193" s="56">
        <f>0.2*C193/100</f>
        <v>0.08</v>
      </c>
      <c r="Q193" s="56">
        <f>1.5*C193/100</f>
        <v>0.6</v>
      </c>
      <c r="R193" s="233">
        <v>200102</v>
      </c>
      <c r="S193" s="233"/>
    </row>
    <row r="194" spans="1:19" s="63" customFormat="1" x14ac:dyDescent="0.2">
      <c r="A194" s="49">
        <v>7</v>
      </c>
      <c r="B194" s="47" t="s">
        <v>222</v>
      </c>
      <c r="C194" s="41">
        <v>40</v>
      </c>
      <c r="D194" s="42">
        <f>9.4*C194/100</f>
        <v>3.76</v>
      </c>
      <c r="E194" s="42">
        <f>5.8*C194/100</f>
        <v>2.3199999999999998</v>
      </c>
      <c r="F194" s="42">
        <f>52.7*C194/100</f>
        <v>21.08</v>
      </c>
      <c r="G194" s="42">
        <f>300.6*C194/100</f>
        <v>120.24</v>
      </c>
      <c r="H194" s="42">
        <f>0.4*C194/100</f>
        <v>0.16</v>
      </c>
      <c r="I194" s="42">
        <f>0.03*C194/100</f>
        <v>1.2E-2</v>
      </c>
      <c r="J194" s="42">
        <v>0</v>
      </c>
      <c r="K194" s="42">
        <f>1.7*C194/100</f>
        <v>0.68</v>
      </c>
      <c r="L194" s="48">
        <f>25.4*C194/100</f>
        <v>10.16</v>
      </c>
      <c r="M194" s="48">
        <f>105.53*C194/100</f>
        <v>42.211999999999996</v>
      </c>
      <c r="N194" s="48">
        <f>36.5*C194/100</f>
        <v>14.6</v>
      </c>
      <c r="O194" s="42">
        <f>2.45*C194/100</f>
        <v>0.98</v>
      </c>
      <c r="P194" s="56">
        <f>0.2*C194/100</f>
        <v>0.08</v>
      </c>
      <c r="Q194" s="56">
        <v>0</v>
      </c>
      <c r="R194" s="233">
        <v>190101</v>
      </c>
      <c r="S194" s="233"/>
    </row>
    <row r="195" spans="1:19" s="37" customFormat="1" x14ac:dyDescent="0.2">
      <c r="A195" s="49"/>
      <c r="B195" s="132" t="s">
        <v>4</v>
      </c>
      <c r="C195" s="120"/>
      <c r="D195" s="168">
        <f t="shared" ref="D195:Q195" si="33">SUM(D188:D194)</f>
        <v>30.808499999999995</v>
      </c>
      <c r="E195" s="168">
        <f t="shared" si="33"/>
        <v>23.152499999999996</v>
      </c>
      <c r="F195" s="168">
        <f t="shared" si="33"/>
        <v>98.623999999999995</v>
      </c>
      <c r="G195" s="168">
        <f t="shared" si="33"/>
        <v>764.14800000000014</v>
      </c>
      <c r="H195" s="168">
        <f t="shared" si="33"/>
        <v>0.51400000000000001</v>
      </c>
      <c r="I195" s="168">
        <f t="shared" si="33"/>
        <v>81.188999999999993</v>
      </c>
      <c r="J195" s="168">
        <f t="shared" si="33"/>
        <v>0.03</v>
      </c>
      <c r="K195" s="168">
        <f t="shared" si="33"/>
        <v>5.4669999999999996</v>
      </c>
      <c r="L195" s="167">
        <f t="shared" si="33"/>
        <v>213.60600000000002</v>
      </c>
      <c r="M195" s="167">
        <f t="shared" si="33"/>
        <v>523.14400000000001</v>
      </c>
      <c r="N195" s="167">
        <f t="shared" si="33"/>
        <v>116.49100000000001</v>
      </c>
      <c r="O195" s="168">
        <f t="shared" si="33"/>
        <v>4.9879999999999995</v>
      </c>
      <c r="P195" s="125">
        <f t="shared" si="33"/>
        <v>0.46400000000000008</v>
      </c>
      <c r="Q195" s="125">
        <f t="shared" si="33"/>
        <v>16.07</v>
      </c>
      <c r="R195" s="233"/>
      <c r="S195" s="233"/>
    </row>
    <row r="196" spans="1:19" s="37" customFormat="1" x14ac:dyDescent="0.2">
      <c r="A196" s="299" t="s">
        <v>35</v>
      </c>
      <c r="B196" s="299"/>
      <c r="C196" s="299"/>
      <c r="D196" s="299"/>
      <c r="E196" s="299"/>
      <c r="F196" s="299"/>
      <c r="G196" s="280"/>
      <c r="H196" s="280"/>
      <c r="I196" s="280"/>
      <c r="J196" s="280"/>
      <c r="K196" s="280"/>
      <c r="L196" s="280"/>
      <c r="M196" s="280"/>
      <c r="N196" s="280"/>
      <c r="O196" s="280"/>
      <c r="P196" s="280"/>
      <c r="Q196" s="280"/>
      <c r="R196" s="280"/>
      <c r="S196" s="280"/>
    </row>
    <row r="197" spans="1:19" s="63" customFormat="1" x14ac:dyDescent="0.2">
      <c r="A197" s="49">
        <v>1</v>
      </c>
      <c r="B197" s="47" t="s">
        <v>122</v>
      </c>
      <c r="C197" s="41">
        <v>200</v>
      </c>
      <c r="D197" s="94">
        <f>2.25*C197/100</f>
        <v>4.5</v>
      </c>
      <c r="E197" s="94">
        <f>2.24*C197/100</f>
        <v>4.4800000000000004</v>
      </c>
      <c r="F197" s="94">
        <f>10.25*C197/100</f>
        <v>20.5</v>
      </c>
      <c r="G197" s="94">
        <f>70.23*C197/100</f>
        <v>140.46</v>
      </c>
      <c r="H197" s="42">
        <f>0.13*C197/100</f>
        <v>0.26</v>
      </c>
      <c r="I197" s="42">
        <f>7*C197/100</f>
        <v>14</v>
      </c>
      <c r="J197" s="42">
        <f>0*C197/100</f>
        <v>0</v>
      </c>
      <c r="K197" s="42">
        <v>0</v>
      </c>
      <c r="L197" s="48">
        <f>1.55*C197/100</f>
        <v>3.1</v>
      </c>
      <c r="M197" s="48">
        <v>0</v>
      </c>
      <c r="N197" s="48">
        <f>0.3*C197/100</f>
        <v>0.6</v>
      </c>
      <c r="O197" s="42">
        <f>0.02*C197/100</f>
        <v>0.04</v>
      </c>
      <c r="P197" s="49">
        <v>0</v>
      </c>
      <c r="Q197" s="49">
        <v>3.58</v>
      </c>
      <c r="R197" s="233">
        <v>160104</v>
      </c>
      <c r="S197" s="233"/>
    </row>
    <row r="198" spans="1:19" s="63" customFormat="1" x14ac:dyDescent="0.2">
      <c r="A198" s="49">
        <v>2</v>
      </c>
      <c r="B198" s="47" t="s">
        <v>148</v>
      </c>
      <c r="C198" s="41">
        <v>50</v>
      </c>
      <c r="D198" s="94">
        <f>9.1*C198/100</f>
        <v>4.55</v>
      </c>
      <c r="E198" s="94">
        <f>3.9*C198/100</f>
        <v>1.95</v>
      </c>
      <c r="F198" s="94">
        <f>45*C198/100</f>
        <v>22.5</v>
      </c>
      <c r="G198" s="94">
        <f>255.1*C198/100</f>
        <v>127.55</v>
      </c>
      <c r="H198" s="42">
        <f>0.34*C198/100</f>
        <v>0.17</v>
      </c>
      <c r="I198" s="42">
        <f>0*C198/100</f>
        <v>0</v>
      </c>
      <c r="J198" s="42">
        <v>1</v>
      </c>
      <c r="K198" s="42">
        <f>1.5*C198/100</f>
        <v>0.75</v>
      </c>
      <c r="L198" s="48">
        <f>148.1*C198/100</f>
        <v>74.05</v>
      </c>
      <c r="M198" s="48">
        <f>0*C198/100</f>
        <v>0</v>
      </c>
      <c r="N198" s="48">
        <f>16*C198/100</f>
        <v>8</v>
      </c>
      <c r="O198" s="42">
        <f>2.4*C198/100</f>
        <v>1.2</v>
      </c>
      <c r="P198" s="56">
        <f>0.2*C198/100</f>
        <v>0.1</v>
      </c>
      <c r="Q198" s="56">
        <v>0</v>
      </c>
      <c r="R198" s="233"/>
      <c r="S198" s="233">
        <v>190216</v>
      </c>
    </row>
    <row r="199" spans="1:19" s="37" customFormat="1" x14ac:dyDescent="0.2">
      <c r="A199" s="49"/>
      <c r="B199" s="132" t="s">
        <v>4</v>
      </c>
      <c r="C199" s="120"/>
      <c r="D199" s="169">
        <f t="shared" ref="D199:Q199" si="34">SUM(D197:D198)</f>
        <v>9.0500000000000007</v>
      </c>
      <c r="E199" s="169">
        <f t="shared" si="34"/>
        <v>6.4300000000000006</v>
      </c>
      <c r="F199" s="169">
        <f t="shared" si="34"/>
        <v>43</v>
      </c>
      <c r="G199" s="169">
        <f t="shared" si="34"/>
        <v>268.01</v>
      </c>
      <c r="H199" s="169">
        <f t="shared" si="34"/>
        <v>0.43000000000000005</v>
      </c>
      <c r="I199" s="169">
        <f t="shared" si="34"/>
        <v>14</v>
      </c>
      <c r="J199" s="169">
        <f t="shared" si="34"/>
        <v>1</v>
      </c>
      <c r="K199" s="169">
        <f t="shared" si="34"/>
        <v>0.75</v>
      </c>
      <c r="L199" s="152">
        <f t="shared" si="34"/>
        <v>77.149999999999991</v>
      </c>
      <c r="M199" s="152">
        <f t="shared" si="34"/>
        <v>0</v>
      </c>
      <c r="N199" s="152">
        <f t="shared" si="34"/>
        <v>8.6</v>
      </c>
      <c r="O199" s="169">
        <f t="shared" si="34"/>
        <v>1.24</v>
      </c>
      <c r="P199" s="49">
        <f t="shared" si="34"/>
        <v>0.1</v>
      </c>
      <c r="Q199" s="49">
        <f t="shared" si="34"/>
        <v>3.58</v>
      </c>
      <c r="R199" s="233"/>
      <c r="S199" s="233"/>
    </row>
    <row r="200" spans="1:19" s="37" customFormat="1" x14ac:dyDescent="0.2">
      <c r="A200" s="49"/>
      <c r="B200" s="132" t="s">
        <v>7</v>
      </c>
      <c r="C200" s="120"/>
      <c r="D200" s="168">
        <f t="shared" ref="D200:Q200" si="35">D186+D195+D199</f>
        <v>56.880499999999998</v>
      </c>
      <c r="E200" s="168">
        <f t="shared" si="35"/>
        <v>54.442499999999995</v>
      </c>
      <c r="F200" s="168">
        <f t="shared" si="35"/>
        <v>195.09399999999999</v>
      </c>
      <c r="G200" s="168">
        <f t="shared" si="35"/>
        <v>1538.2230000000002</v>
      </c>
      <c r="H200" s="168">
        <f t="shared" si="35"/>
        <v>1.0870000000000002</v>
      </c>
      <c r="I200" s="168">
        <f t="shared" si="35"/>
        <v>97.438999999999993</v>
      </c>
      <c r="J200" s="168">
        <f t="shared" si="35"/>
        <v>1.07</v>
      </c>
      <c r="K200" s="168">
        <f t="shared" si="35"/>
        <v>6.617</v>
      </c>
      <c r="L200" s="167">
        <f t="shared" si="35"/>
        <v>345.19600000000003</v>
      </c>
      <c r="M200" s="167">
        <f t="shared" si="35"/>
        <v>606.38400000000001</v>
      </c>
      <c r="N200" s="167">
        <f t="shared" si="35"/>
        <v>142.37100000000001</v>
      </c>
      <c r="O200" s="168">
        <f t="shared" si="35"/>
        <v>7.548</v>
      </c>
      <c r="P200" s="168">
        <f t="shared" si="35"/>
        <v>0.63400000000000001</v>
      </c>
      <c r="Q200" s="168">
        <f t="shared" si="35"/>
        <v>23.93</v>
      </c>
      <c r="R200" s="233"/>
      <c r="S200" s="233"/>
    </row>
    <row r="201" spans="1:19" s="37" customFormat="1" x14ac:dyDescent="0.2">
      <c r="A201" s="279" t="s">
        <v>66</v>
      </c>
      <c r="B201" s="279"/>
      <c r="C201" s="279"/>
      <c r="D201" s="279"/>
      <c r="E201" s="279"/>
      <c r="F201" s="279"/>
      <c r="G201" s="280"/>
      <c r="H201" s="280"/>
      <c r="I201" s="280"/>
      <c r="J201" s="280"/>
      <c r="K201" s="280"/>
      <c r="L201" s="280"/>
      <c r="M201" s="280"/>
      <c r="N201" s="280"/>
      <c r="O201" s="280"/>
      <c r="P201" s="280"/>
      <c r="Q201" s="280"/>
      <c r="R201" s="280"/>
      <c r="S201" s="280"/>
    </row>
    <row r="202" spans="1:19" s="37" customFormat="1" x14ac:dyDescent="0.2">
      <c r="A202" s="279" t="s">
        <v>3</v>
      </c>
      <c r="B202" s="279"/>
      <c r="C202" s="279"/>
      <c r="D202" s="279"/>
      <c r="E202" s="279"/>
      <c r="F202" s="279"/>
      <c r="G202" s="280"/>
      <c r="H202" s="280"/>
      <c r="I202" s="280"/>
      <c r="J202" s="280"/>
      <c r="K202" s="280"/>
      <c r="L202" s="280"/>
      <c r="M202" s="280"/>
      <c r="N202" s="280"/>
      <c r="O202" s="280"/>
      <c r="P202" s="280"/>
      <c r="Q202" s="280"/>
      <c r="R202" s="280"/>
      <c r="S202" s="280"/>
    </row>
    <row r="203" spans="1:19" s="63" customFormat="1" x14ac:dyDescent="0.2">
      <c r="A203" s="49">
        <v>1</v>
      </c>
      <c r="B203" s="47" t="s">
        <v>264</v>
      </c>
      <c r="C203" s="41">
        <v>150</v>
      </c>
      <c r="D203" s="94">
        <f>3*C203/100</f>
        <v>4.5</v>
      </c>
      <c r="E203" s="94">
        <f>5.47*C203/100</f>
        <v>8.2050000000000001</v>
      </c>
      <c r="F203" s="94">
        <f>16*C203/100</f>
        <v>24</v>
      </c>
      <c r="G203" s="94">
        <f>123.4*C203/100</f>
        <v>185.1</v>
      </c>
      <c r="H203" s="42">
        <f>0.12*C203/100</f>
        <v>0.18</v>
      </c>
      <c r="I203" s="42">
        <f>8.2*C203/100</f>
        <v>12.3</v>
      </c>
      <c r="J203" s="42">
        <f>0.04*C203/100</f>
        <v>0.06</v>
      </c>
      <c r="K203" s="42">
        <f>0.06*C203/100</f>
        <v>0.09</v>
      </c>
      <c r="L203" s="48">
        <f>99.98*C203/100</f>
        <v>149.97</v>
      </c>
      <c r="M203" s="48">
        <f>105*C203/100</f>
        <v>157.5</v>
      </c>
      <c r="N203" s="48">
        <f>22.36*C203/100</f>
        <v>33.54</v>
      </c>
      <c r="O203" s="42">
        <f>0.32*C203/100</f>
        <v>0.48</v>
      </c>
      <c r="P203" s="49">
        <f>0.11*C203/100</f>
        <v>0.16500000000000001</v>
      </c>
      <c r="Q203" s="49">
        <v>4.46</v>
      </c>
      <c r="R203" s="239">
        <v>120203</v>
      </c>
      <c r="S203" s="239">
        <v>120204</v>
      </c>
    </row>
    <row r="204" spans="1:19" s="63" customFormat="1" x14ac:dyDescent="0.2">
      <c r="A204" s="49">
        <v>2</v>
      </c>
      <c r="B204" s="47" t="s">
        <v>31</v>
      </c>
      <c r="C204" s="59">
        <v>200</v>
      </c>
      <c r="D204" s="60">
        <v>0</v>
      </c>
      <c r="E204" s="60">
        <v>0</v>
      </c>
      <c r="F204" s="60">
        <f>4.99*C204/100</f>
        <v>9.98</v>
      </c>
      <c r="G204" s="42">
        <f>19.95*C204/100</f>
        <v>39.9</v>
      </c>
      <c r="H204" s="42">
        <v>0</v>
      </c>
      <c r="I204" s="42">
        <v>0</v>
      </c>
      <c r="J204" s="42">
        <v>0</v>
      </c>
      <c r="K204" s="42">
        <v>0</v>
      </c>
      <c r="L204" s="48">
        <f>8.15*C204/100</f>
        <v>16.3</v>
      </c>
      <c r="M204" s="48">
        <f>0.02*C204/100</f>
        <v>0.04</v>
      </c>
      <c r="N204" s="48">
        <f>1.79*C204/100</f>
        <v>3.58</v>
      </c>
      <c r="O204" s="42">
        <f>0.02*C204/100</f>
        <v>0.04</v>
      </c>
      <c r="P204" s="49">
        <f>0.01*C204/100</f>
        <v>0.02</v>
      </c>
      <c r="Q204" s="49">
        <v>0.48</v>
      </c>
      <c r="R204" s="233">
        <v>160105</v>
      </c>
      <c r="S204" s="240"/>
    </row>
    <row r="205" spans="1:19" s="63" customFormat="1" x14ac:dyDescent="0.2">
      <c r="A205" s="49">
        <v>3</v>
      </c>
      <c r="B205" s="47" t="s">
        <v>160</v>
      </c>
      <c r="C205" s="41">
        <v>20</v>
      </c>
      <c r="D205" s="42">
        <f>7.76*C205/100</f>
        <v>1.5519999999999998</v>
      </c>
      <c r="E205" s="42">
        <f>2.65*C205/100</f>
        <v>0.53</v>
      </c>
      <c r="F205" s="42">
        <f>53.25*C205/100</f>
        <v>10.65</v>
      </c>
      <c r="G205" s="42">
        <f>273*C205/100</f>
        <v>54.6</v>
      </c>
      <c r="H205" s="42">
        <f>0.34*C205/100</f>
        <v>6.8000000000000005E-2</v>
      </c>
      <c r="I205" s="42">
        <f>0*C205/100</f>
        <v>0</v>
      </c>
      <c r="J205" s="42">
        <v>0</v>
      </c>
      <c r="K205" s="42">
        <f>1.5*C205/100</f>
        <v>0.3</v>
      </c>
      <c r="L205" s="48">
        <f>148.1*C205/100</f>
        <v>29.62</v>
      </c>
      <c r="M205" s="48">
        <f>0*C205/100</f>
        <v>0</v>
      </c>
      <c r="N205" s="48">
        <f>16*C205/100</f>
        <v>3.2</v>
      </c>
      <c r="O205" s="42">
        <f>2.4*C205/100</f>
        <v>0.48</v>
      </c>
      <c r="P205" s="56">
        <f>0.2*C205/100</f>
        <v>0.04</v>
      </c>
      <c r="Q205" s="56">
        <f>1.5*C205/100</f>
        <v>0.3</v>
      </c>
      <c r="R205" s="233">
        <v>200102</v>
      </c>
      <c r="S205" s="233"/>
    </row>
    <row r="206" spans="1:19" s="65" customFormat="1" ht="56.25" x14ac:dyDescent="0.2">
      <c r="A206" s="49">
        <v>4</v>
      </c>
      <c r="B206" s="178" t="s">
        <v>188</v>
      </c>
      <c r="C206" s="179">
        <v>20</v>
      </c>
      <c r="D206" s="180">
        <f>26*C206/100</f>
        <v>5.2</v>
      </c>
      <c r="E206" s="180">
        <f>26.1*C206/100</f>
        <v>5.22</v>
      </c>
      <c r="F206" s="180">
        <f>0*C206/100</f>
        <v>0</v>
      </c>
      <c r="G206" s="62">
        <f>344*C206/100</f>
        <v>68.8</v>
      </c>
      <c r="H206" s="56">
        <f>0.03*C206/100</f>
        <v>6.0000000000000001E-3</v>
      </c>
      <c r="I206" s="56">
        <f>0.8*C206/100</f>
        <v>0.16</v>
      </c>
      <c r="J206" s="56">
        <f>0.23*C206/100</f>
        <v>4.6000000000000006E-2</v>
      </c>
      <c r="K206" s="56">
        <f>0.5*C206/100</f>
        <v>0.1</v>
      </c>
      <c r="L206" s="123">
        <f>1000*C206/100</f>
        <v>200</v>
      </c>
      <c r="M206" s="123">
        <f>650*C206/100</f>
        <v>130</v>
      </c>
      <c r="N206" s="123">
        <f>45*C206/100</f>
        <v>9</v>
      </c>
      <c r="O206" s="56">
        <f>0.8*C206/100</f>
        <v>0.16</v>
      </c>
      <c r="P206" s="56">
        <f>0.3*C206/100</f>
        <v>0.06</v>
      </c>
      <c r="Q206" s="56">
        <v>0</v>
      </c>
      <c r="R206" s="233">
        <v>100102</v>
      </c>
      <c r="S206" s="237"/>
    </row>
    <row r="207" spans="1:19" s="64" customFormat="1" ht="18.75" customHeight="1" x14ac:dyDescent="0.25">
      <c r="A207" s="49">
        <v>5</v>
      </c>
      <c r="B207" s="47" t="s">
        <v>270</v>
      </c>
      <c r="C207" s="41">
        <v>150</v>
      </c>
      <c r="D207" s="42">
        <f>5.9*C207/100</f>
        <v>8.85</v>
      </c>
      <c r="E207" s="42">
        <f>0*C207/100</f>
        <v>0</v>
      </c>
      <c r="F207" s="42">
        <f>24.83*C207/100</f>
        <v>37.244999999999997</v>
      </c>
      <c r="G207" s="42">
        <f>123*C207/100</f>
        <v>184.5</v>
      </c>
      <c r="H207" s="42">
        <v>0</v>
      </c>
      <c r="I207" s="42">
        <f>0.8*C207/100</f>
        <v>1.2</v>
      </c>
      <c r="J207" s="42">
        <v>0</v>
      </c>
      <c r="K207" s="42">
        <v>0</v>
      </c>
      <c r="L207" s="48">
        <f>28.96*C207/100</f>
        <v>43.44</v>
      </c>
      <c r="M207" s="48">
        <f>9.26*C207/100</f>
        <v>13.89</v>
      </c>
      <c r="N207" s="48">
        <f>3.51*C207/100</f>
        <v>5.2649999999999997</v>
      </c>
      <c r="O207" s="42">
        <f>0.1*C207/100</f>
        <v>0.15</v>
      </c>
      <c r="P207" s="56">
        <v>0</v>
      </c>
      <c r="Q207" s="56">
        <v>0</v>
      </c>
      <c r="R207" s="235">
        <v>220107</v>
      </c>
      <c r="S207" s="235">
        <v>220108</v>
      </c>
    </row>
    <row r="208" spans="1:19" s="37" customFormat="1" x14ac:dyDescent="0.2">
      <c r="A208" s="49"/>
      <c r="B208" s="132" t="s">
        <v>4</v>
      </c>
      <c r="C208" s="41"/>
      <c r="D208" s="169">
        <f t="shared" ref="D208:Q208" si="36">SUM(D203:D207)</f>
        <v>20.101999999999997</v>
      </c>
      <c r="E208" s="169">
        <f t="shared" si="36"/>
        <v>13.954999999999998</v>
      </c>
      <c r="F208" s="169">
        <f t="shared" si="36"/>
        <v>81.875</v>
      </c>
      <c r="G208" s="169">
        <f t="shared" si="36"/>
        <v>532.90000000000009</v>
      </c>
      <c r="H208" s="169">
        <f t="shared" si="36"/>
        <v>0.254</v>
      </c>
      <c r="I208" s="169">
        <f t="shared" si="36"/>
        <v>13.66</v>
      </c>
      <c r="J208" s="169">
        <f t="shared" si="36"/>
        <v>0.10600000000000001</v>
      </c>
      <c r="K208" s="169">
        <f t="shared" si="36"/>
        <v>0.49</v>
      </c>
      <c r="L208" s="152">
        <f t="shared" si="36"/>
        <v>439.33</v>
      </c>
      <c r="M208" s="152">
        <f t="shared" si="36"/>
        <v>301.42999999999995</v>
      </c>
      <c r="N208" s="152">
        <f t="shared" si="36"/>
        <v>54.585000000000001</v>
      </c>
      <c r="O208" s="169">
        <f t="shared" si="36"/>
        <v>1.3099999999999998</v>
      </c>
      <c r="P208" s="125">
        <f t="shared" si="36"/>
        <v>0.28500000000000003</v>
      </c>
      <c r="Q208" s="125">
        <f t="shared" si="36"/>
        <v>5.2399999999999993</v>
      </c>
      <c r="R208" s="233"/>
      <c r="S208" s="233"/>
    </row>
    <row r="209" spans="1:19" s="37" customFormat="1" ht="18" x14ac:dyDescent="0.2">
      <c r="A209" s="279" t="s">
        <v>5</v>
      </c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</row>
    <row r="210" spans="1:19" s="64" customFormat="1" x14ac:dyDescent="0.3">
      <c r="A210" s="49">
        <v>1</v>
      </c>
      <c r="B210" s="47" t="s">
        <v>189</v>
      </c>
      <c r="C210" s="41">
        <v>60</v>
      </c>
      <c r="D210" s="42">
        <f>1*C210/100</f>
        <v>0.6</v>
      </c>
      <c r="E210" s="42">
        <f>14.12*C210/100</f>
        <v>8.4719999999999995</v>
      </c>
      <c r="F210" s="42">
        <f>2*C210/100</f>
        <v>1.2</v>
      </c>
      <c r="G210" s="42">
        <f>138.92*C210/100</f>
        <v>83.35199999999999</v>
      </c>
      <c r="H210" s="42">
        <f>0.02*C210/100</f>
        <v>1.2E-2</v>
      </c>
      <c r="I210" s="42">
        <f>9.25*C210/100</f>
        <v>5.55</v>
      </c>
      <c r="J210" s="42">
        <v>0</v>
      </c>
      <c r="K210" s="42">
        <f>2.44*C210/100</f>
        <v>1.464</v>
      </c>
      <c r="L210" s="42">
        <f>43.77*C210/100</f>
        <v>26.262000000000004</v>
      </c>
      <c r="M210" s="42">
        <f>33.3*C210/100</f>
        <v>19.979999999999997</v>
      </c>
      <c r="N210" s="42">
        <f>23.68*C210/100</f>
        <v>14.208</v>
      </c>
      <c r="O210" s="42">
        <f>0.52*C210/100</f>
        <v>0.31200000000000006</v>
      </c>
      <c r="P210" s="55">
        <f>0.05*C210/100</f>
        <v>0.03</v>
      </c>
      <c r="Q210" s="55">
        <v>2.76</v>
      </c>
      <c r="R210" s="232">
        <v>100205</v>
      </c>
      <c r="S210" s="235"/>
    </row>
    <row r="211" spans="1:19" s="63" customFormat="1" x14ac:dyDescent="0.2">
      <c r="A211" s="49">
        <v>2</v>
      </c>
      <c r="B211" s="47" t="s">
        <v>209</v>
      </c>
      <c r="C211" s="41">
        <v>250</v>
      </c>
      <c r="D211" s="42">
        <f>3.4*C211/100</f>
        <v>8.5</v>
      </c>
      <c r="E211" s="42">
        <f>1.1*C211/100</f>
        <v>2.75</v>
      </c>
      <c r="F211" s="42">
        <f>3.8*C211/100</f>
        <v>9.5</v>
      </c>
      <c r="G211" s="42">
        <f>38.7*C211/100</f>
        <v>96.75</v>
      </c>
      <c r="H211" s="42">
        <f>0.01*C211/100</f>
        <v>2.5000000000000001E-2</v>
      </c>
      <c r="I211" s="42">
        <f>2.83*C211/100</f>
        <v>7.0750000000000002</v>
      </c>
      <c r="J211" s="42">
        <f>0.62*C211/100</f>
        <v>1.55</v>
      </c>
      <c r="K211" s="42">
        <f>1.08*C211/100</f>
        <v>2.7</v>
      </c>
      <c r="L211" s="48">
        <f>6.54*C211/100</f>
        <v>16.350000000000001</v>
      </c>
      <c r="M211" s="48">
        <f>12.95*C211/100</f>
        <v>32.375</v>
      </c>
      <c r="N211" s="48">
        <f>5.65*C211/100</f>
        <v>14.125</v>
      </c>
      <c r="O211" s="42">
        <f>0.19*C211/100</f>
        <v>0.47499999999999998</v>
      </c>
      <c r="P211" s="49">
        <v>0.03</v>
      </c>
      <c r="Q211" s="49">
        <v>2.73</v>
      </c>
      <c r="R211" s="233">
        <v>110303</v>
      </c>
      <c r="S211" s="236">
        <v>110304</v>
      </c>
    </row>
    <row r="212" spans="1:19" s="52" customFormat="1" x14ac:dyDescent="0.2">
      <c r="A212" s="49">
        <v>3</v>
      </c>
      <c r="B212" s="47" t="s">
        <v>182</v>
      </c>
      <c r="C212" s="41">
        <v>100</v>
      </c>
      <c r="D212" s="42">
        <f>11.4*C212/100</f>
        <v>11.4</v>
      </c>
      <c r="E212" s="42">
        <f>6.2*C212/100</f>
        <v>6.2</v>
      </c>
      <c r="F212" s="42">
        <f>5.9*C212/100</f>
        <v>5.9</v>
      </c>
      <c r="G212" s="42">
        <f>125*C212/100</f>
        <v>125</v>
      </c>
      <c r="H212" s="42">
        <f>0.09*C212/100</f>
        <v>0.09</v>
      </c>
      <c r="I212" s="42">
        <f>1.08*C212/100</f>
        <v>1.08</v>
      </c>
      <c r="J212" s="42">
        <f>0.02*C212/100</f>
        <v>0.02</v>
      </c>
      <c r="K212" s="42">
        <f>0.1*C212/100</f>
        <v>0.1</v>
      </c>
      <c r="L212" s="48">
        <f>31.18*C212/100</f>
        <v>31.18</v>
      </c>
      <c r="M212" s="48">
        <f>186.03*C212/100</f>
        <v>186.03</v>
      </c>
      <c r="N212" s="48">
        <f>37.33*C212/100</f>
        <v>37.33</v>
      </c>
      <c r="O212" s="42">
        <f>2.48*C212/100</f>
        <v>2.48</v>
      </c>
      <c r="P212" s="49">
        <f>0.19*C212/100</f>
        <v>0.19</v>
      </c>
      <c r="Q212" s="49">
        <f>1.23*C212/100</f>
        <v>1.23</v>
      </c>
      <c r="R212" s="233">
        <v>120513</v>
      </c>
      <c r="S212" s="233">
        <v>120514</v>
      </c>
    </row>
    <row r="213" spans="1:19" s="63" customFormat="1" x14ac:dyDescent="0.2">
      <c r="A213" s="49">
        <v>4</v>
      </c>
      <c r="B213" s="47" t="s">
        <v>8</v>
      </c>
      <c r="C213" s="41">
        <v>150</v>
      </c>
      <c r="D213" s="42">
        <f>2.225*C213/100</f>
        <v>3.3374999999999999</v>
      </c>
      <c r="E213" s="42">
        <f>7.525*C213/100</f>
        <v>11.2875</v>
      </c>
      <c r="F213" s="42">
        <f>25.84*C213/100</f>
        <v>38.76</v>
      </c>
      <c r="G213" s="42">
        <f>180*C213/100</f>
        <v>270</v>
      </c>
      <c r="H213" s="42">
        <f>0.02*C213/100</f>
        <v>0.03</v>
      </c>
      <c r="I213" s="42">
        <f>0*C213/100</f>
        <v>0</v>
      </c>
      <c r="J213" s="42">
        <f>0.04*C213/100</f>
        <v>0.06</v>
      </c>
      <c r="K213" s="42">
        <f>0.1*C213/100</f>
        <v>0.15</v>
      </c>
      <c r="L213" s="48">
        <f>1.38*C213/100</f>
        <v>2.0699999999999998</v>
      </c>
      <c r="M213" s="48">
        <f>40.5*C213/100</f>
        <v>60.75</v>
      </c>
      <c r="N213" s="48">
        <f>12.43*C213/100</f>
        <v>18.645</v>
      </c>
      <c r="O213" s="42">
        <f>0.35*C213/100</f>
        <v>0.52500000000000002</v>
      </c>
      <c r="P213" s="49">
        <f>0.015*C213/100</f>
        <v>2.2499999999999999E-2</v>
      </c>
      <c r="Q213" s="49">
        <v>0</v>
      </c>
      <c r="R213" s="233">
        <v>130301</v>
      </c>
      <c r="S213" s="233">
        <v>130302</v>
      </c>
    </row>
    <row r="214" spans="1:19" s="52" customFormat="1" x14ac:dyDescent="0.2">
      <c r="A214" s="49">
        <v>5</v>
      </c>
      <c r="B214" s="47" t="s">
        <v>132</v>
      </c>
      <c r="C214" s="41">
        <v>200</v>
      </c>
      <c r="D214" s="42">
        <f>0.09*C214/100</f>
        <v>0.18</v>
      </c>
      <c r="E214" s="42">
        <f>0.02*C214/100</f>
        <v>0.04</v>
      </c>
      <c r="F214" s="42">
        <f>9.1*C214/100</f>
        <v>18.2</v>
      </c>
      <c r="G214" s="42">
        <f>27.67*C214/100</f>
        <v>55.34</v>
      </c>
      <c r="H214" s="42">
        <f>0*C214/100</f>
        <v>0</v>
      </c>
      <c r="I214" s="42">
        <f>1.65*C214/100</f>
        <v>3.3</v>
      </c>
      <c r="J214" s="42">
        <f>0*C214/100</f>
        <v>0</v>
      </c>
      <c r="K214" s="42">
        <f>0.03*C214/100</f>
        <v>0.06</v>
      </c>
      <c r="L214" s="48">
        <f>8.28*C214/100</f>
        <v>16.559999999999999</v>
      </c>
      <c r="M214" s="48">
        <f>3.3*C214/100</f>
        <v>6.6</v>
      </c>
      <c r="N214" s="48">
        <f>3.76*C214/100</f>
        <v>7.52</v>
      </c>
      <c r="O214" s="42">
        <f>0.07*C214/100</f>
        <v>0.14000000000000001</v>
      </c>
      <c r="P214" s="62">
        <v>0</v>
      </c>
      <c r="Q214" s="62">
        <v>2.3199999999999998</v>
      </c>
      <c r="R214" s="233">
        <v>160204</v>
      </c>
      <c r="S214" s="233"/>
    </row>
    <row r="215" spans="1:19" s="63" customFormat="1" x14ac:dyDescent="0.2">
      <c r="A215" s="49">
        <v>6</v>
      </c>
      <c r="B215" s="47" t="s">
        <v>160</v>
      </c>
      <c r="C215" s="41">
        <v>40</v>
      </c>
      <c r="D215" s="42">
        <f>7.76*C215/100</f>
        <v>3.1039999999999996</v>
      </c>
      <c r="E215" s="42">
        <f>2.65*C215/100</f>
        <v>1.06</v>
      </c>
      <c r="F215" s="42">
        <f>53.25*C215/100</f>
        <v>21.3</v>
      </c>
      <c r="G215" s="42">
        <f>273*C215/100</f>
        <v>109.2</v>
      </c>
      <c r="H215" s="42">
        <f>0.34*C215/100</f>
        <v>0.13600000000000001</v>
      </c>
      <c r="I215" s="42">
        <f>0*C215/100</f>
        <v>0</v>
      </c>
      <c r="J215" s="42">
        <v>0</v>
      </c>
      <c r="K215" s="42">
        <f>1.5*C215/100</f>
        <v>0.6</v>
      </c>
      <c r="L215" s="48">
        <f>148.1*C215/100</f>
        <v>59.24</v>
      </c>
      <c r="M215" s="48">
        <f>0*C215/100</f>
        <v>0</v>
      </c>
      <c r="N215" s="48">
        <f>16*C215/100</f>
        <v>6.4</v>
      </c>
      <c r="O215" s="42">
        <f>2.4*C215/100</f>
        <v>0.96</v>
      </c>
      <c r="P215" s="56">
        <f>0.2*C215/100</f>
        <v>0.08</v>
      </c>
      <c r="Q215" s="56">
        <f>1.5*C215/100</f>
        <v>0.6</v>
      </c>
      <c r="R215" s="233">
        <v>200102</v>
      </c>
      <c r="S215" s="233"/>
    </row>
    <row r="216" spans="1:19" s="63" customFormat="1" x14ac:dyDescent="0.2">
      <c r="A216" s="49">
        <v>7</v>
      </c>
      <c r="B216" s="47" t="s">
        <v>159</v>
      </c>
      <c r="C216" s="41">
        <v>20</v>
      </c>
      <c r="D216" s="42">
        <f>5.86*C216/100</f>
        <v>1.1719999999999999</v>
      </c>
      <c r="E216" s="42">
        <f>0.94*C216/100</f>
        <v>0.18799999999999997</v>
      </c>
      <c r="F216" s="42">
        <f>44.4*C216/100</f>
        <v>8.8800000000000008</v>
      </c>
      <c r="G216" s="42">
        <f>189*C216/100</f>
        <v>37.799999999999997</v>
      </c>
      <c r="H216" s="42">
        <f>0.4*C216/100</f>
        <v>0.08</v>
      </c>
      <c r="I216" s="42">
        <f>0.03*C216/100</f>
        <v>6.0000000000000001E-3</v>
      </c>
      <c r="J216" s="42">
        <v>0</v>
      </c>
      <c r="K216" s="42">
        <f>1.7*C216/100</f>
        <v>0.34</v>
      </c>
      <c r="L216" s="48">
        <f>25.4*C216/100</f>
        <v>5.08</v>
      </c>
      <c r="M216" s="48">
        <f>105.53*C216/100</f>
        <v>21.105999999999998</v>
      </c>
      <c r="N216" s="48">
        <f>36.5*C216/100</f>
        <v>7.3</v>
      </c>
      <c r="O216" s="42">
        <f>2.45*C216/100</f>
        <v>0.49</v>
      </c>
      <c r="P216" s="56">
        <f>0.2*C216/100</f>
        <v>0.04</v>
      </c>
      <c r="Q216" s="56">
        <f>10*C216/100</f>
        <v>2</v>
      </c>
      <c r="R216" s="233">
        <v>200103</v>
      </c>
      <c r="S216" s="233"/>
    </row>
    <row r="217" spans="1:19" s="37" customFormat="1" x14ac:dyDescent="0.2">
      <c r="A217" s="49"/>
      <c r="B217" s="132" t="s">
        <v>4</v>
      </c>
      <c r="C217" s="120"/>
      <c r="D217" s="168">
        <f t="shared" ref="D217:Q217" si="37">SUM(D210:D216)</f>
        <v>28.293499999999998</v>
      </c>
      <c r="E217" s="168">
        <f t="shared" si="37"/>
        <v>29.997499999999995</v>
      </c>
      <c r="F217" s="168">
        <f t="shared" si="37"/>
        <v>103.74</v>
      </c>
      <c r="G217" s="168">
        <f t="shared" si="37"/>
        <v>777.44200000000001</v>
      </c>
      <c r="H217" s="168">
        <f t="shared" si="37"/>
        <v>0.37300000000000005</v>
      </c>
      <c r="I217" s="168">
        <f t="shared" si="37"/>
        <v>17.010999999999999</v>
      </c>
      <c r="J217" s="168">
        <f t="shared" si="37"/>
        <v>1.6300000000000001</v>
      </c>
      <c r="K217" s="168">
        <f t="shared" si="37"/>
        <v>5.4139999999999988</v>
      </c>
      <c r="L217" s="167">
        <f t="shared" si="37"/>
        <v>156.74200000000002</v>
      </c>
      <c r="M217" s="167">
        <f t="shared" si="37"/>
        <v>326.84100000000001</v>
      </c>
      <c r="N217" s="167">
        <f t="shared" si="37"/>
        <v>105.52799999999999</v>
      </c>
      <c r="O217" s="168">
        <f t="shared" si="37"/>
        <v>5.3819999999999997</v>
      </c>
      <c r="P217" s="125">
        <f t="shared" si="37"/>
        <v>0.39250000000000002</v>
      </c>
      <c r="Q217" s="125">
        <f t="shared" si="37"/>
        <v>11.64</v>
      </c>
      <c r="R217" s="233"/>
      <c r="S217" s="233"/>
    </row>
    <row r="218" spans="1:19" s="37" customFormat="1" x14ac:dyDescent="0.2">
      <c r="A218" s="338" t="s">
        <v>35</v>
      </c>
      <c r="B218" s="338"/>
      <c r="C218" s="338"/>
      <c r="D218" s="338"/>
      <c r="E218" s="338"/>
      <c r="F218" s="338"/>
      <c r="G218" s="339"/>
      <c r="H218" s="339"/>
      <c r="I218" s="339"/>
      <c r="J218" s="339"/>
      <c r="K218" s="339"/>
      <c r="L218" s="339"/>
      <c r="M218" s="339"/>
      <c r="N218" s="339"/>
      <c r="O218" s="339"/>
      <c r="P218" s="339"/>
      <c r="Q218" s="339"/>
      <c r="R218" s="339"/>
      <c r="S218" s="339"/>
    </row>
    <row r="219" spans="1:19" s="63" customFormat="1" ht="37.5" x14ac:dyDescent="0.2">
      <c r="A219" s="49">
        <v>1</v>
      </c>
      <c r="B219" s="47" t="s">
        <v>247</v>
      </c>
      <c r="C219" s="41">
        <v>50</v>
      </c>
      <c r="D219" s="42">
        <f>13*C219/100</f>
        <v>6.5</v>
      </c>
      <c r="E219" s="42">
        <f>5.7*C219/100</f>
        <v>2.85</v>
      </c>
      <c r="F219" s="42">
        <f>47.2*C219/100</f>
        <v>23.6</v>
      </c>
      <c r="G219" s="42">
        <f>292*C219/100</f>
        <v>146</v>
      </c>
      <c r="H219" s="42">
        <f>0.08*C219/100</f>
        <v>0.04</v>
      </c>
      <c r="I219" s="42">
        <f>0.25*C219/100</f>
        <v>0.125</v>
      </c>
      <c r="J219" s="42">
        <f>0.01*C219/100</f>
        <v>5.0000000000000001E-3</v>
      </c>
      <c r="K219" s="42">
        <f>0.95*C219/100</f>
        <v>0.47499999999999998</v>
      </c>
      <c r="L219" s="48">
        <f>34.87*C219/100</f>
        <v>17.434999999999999</v>
      </c>
      <c r="M219" s="48">
        <f>47.49*C219/100</f>
        <v>23.745000000000001</v>
      </c>
      <c r="N219" s="48">
        <f>12.92*C219/100</f>
        <v>6.46</v>
      </c>
      <c r="O219" s="42">
        <f>1.05*C219/100</f>
        <v>0.52500000000000002</v>
      </c>
      <c r="P219" s="49">
        <f>0.06*C219/100</f>
        <v>0.03</v>
      </c>
      <c r="Q219" s="49">
        <v>4</v>
      </c>
      <c r="R219" s="231" t="s">
        <v>248</v>
      </c>
      <c r="S219" s="233">
        <v>190206</v>
      </c>
    </row>
    <row r="220" spans="1:19" s="63" customFormat="1" x14ac:dyDescent="0.2">
      <c r="A220" s="49">
        <v>2</v>
      </c>
      <c r="B220" s="47" t="s">
        <v>163</v>
      </c>
      <c r="C220" s="41">
        <v>200</v>
      </c>
      <c r="D220" s="60">
        <f>3.05*C220/100</f>
        <v>6.1</v>
      </c>
      <c r="E220" s="60">
        <f>3.11*C220/100</f>
        <v>6.22</v>
      </c>
      <c r="F220" s="60">
        <f>9.83*C220/100</f>
        <v>19.66</v>
      </c>
      <c r="G220" s="60">
        <f>79.2*C220/100</f>
        <v>158.4</v>
      </c>
      <c r="H220" s="42">
        <f>0.26*C220/100</f>
        <v>0.52</v>
      </c>
      <c r="I220" s="42">
        <f>14.61*C220/100</f>
        <v>29.22</v>
      </c>
      <c r="J220" s="42">
        <f>0.4*C220/100</f>
        <v>0.8</v>
      </c>
      <c r="K220" s="42">
        <v>0</v>
      </c>
      <c r="L220" s="48">
        <f>24.96*C220/100</f>
        <v>49.92</v>
      </c>
      <c r="M220" s="48">
        <v>0</v>
      </c>
      <c r="N220" s="48">
        <f>0.1*C220/100</f>
        <v>0.2</v>
      </c>
      <c r="O220" s="42">
        <v>0</v>
      </c>
      <c r="P220" s="49">
        <v>0.14000000000000001</v>
      </c>
      <c r="Q220" s="49">
        <v>7.68</v>
      </c>
      <c r="R220" s="237">
        <v>160101</v>
      </c>
      <c r="S220" s="233">
        <v>160102</v>
      </c>
    </row>
    <row r="221" spans="1:19" s="37" customFormat="1" x14ac:dyDescent="0.2">
      <c r="A221" s="49"/>
      <c r="B221" s="132" t="s">
        <v>4</v>
      </c>
      <c r="C221" s="41"/>
      <c r="D221" s="169">
        <f t="shared" ref="D221:Q221" si="38">SUM(D219:D220)</f>
        <v>12.6</v>
      </c>
      <c r="E221" s="169">
        <f t="shared" si="38"/>
        <v>9.07</v>
      </c>
      <c r="F221" s="169">
        <f t="shared" si="38"/>
        <v>43.260000000000005</v>
      </c>
      <c r="G221" s="169">
        <f t="shared" si="38"/>
        <v>304.39999999999998</v>
      </c>
      <c r="H221" s="169">
        <f t="shared" si="38"/>
        <v>0.56000000000000005</v>
      </c>
      <c r="I221" s="169">
        <f t="shared" si="38"/>
        <v>29.344999999999999</v>
      </c>
      <c r="J221" s="169">
        <f t="shared" si="38"/>
        <v>0.80500000000000005</v>
      </c>
      <c r="K221" s="169">
        <f t="shared" si="38"/>
        <v>0.47499999999999998</v>
      </c>
      <c r="L221" s="152">
        <f t="shared" si="38"/>
        <v>67.355000000000004</v>
      </c>
      <c r="M221" s="152">
        <f t="shared" si="38"/>
        <v>23.745000000000001</v>
      </c>
      <c r="N221" s="152">
        <f t="shared" si="38"/>
        <v>6.66</v>
      </c>
      <c r="O221" s="169">
        <f t="shared" si="38"/>
        <v>0.52500000000000002</v>
      </c>
      <c r="P221" s="125">
        <f t="shared" si="38"/>
        <v>0.17</v>
      </c>
      <c r="Q221" s="125">
        <f t="shared" si="38"/>
        <v>11.68</v>
      </c>
      <c r="R221" s="233"/>
      <c r="S221" s="233"/>
    </row>
    <row r="222" spans="1:19" s="37" customFormat="1" x14ac:dyDescent="0.2">
      <c r="A222" s="49"/>
      <c r="B222" s="132" t="s">
        <v>7</v>
      </c>
      <c r="C222" s="41"/>
      <c r="D222" s="168">
        <f t="shared" ref="D222:Q222" si="39">D208+D217+D221</f>
        <v>60.9955</v>
      </c>
      <c r="E222" s="168">
        <f t="shared" si="39"/>
        <v>53.022499999999994</v>
      </c>
      <c r="F222" s="168">
        <f t="shared" si="39"/>
        <v>228.875</v>
      </c>
      <c r="G222" s="168">
        <f t="shared" si="39"/>
        <v>1614.7420000000002</v>
      </c>
      <c r="H222" s="168">
        <f t="shared" si="39"/>
        <v>1.1870000000000001</v>
      </c>
      <c r="I222" s="168">
        <f t="shared" si="39"/>
        <v>60.015999999999998</v>
      </c>
      <c r="J222" s="168">
        <f t="shared" si="39"/>
        <v>2.5410000000000004</v>
      </c>
      <c r="K222" s="168">
        <f t="shared" si="39"/>
        <v>6.3789999999999987</v>
      </c>
      <c r="L222" s="167">
        <f t="shared" si="39"/>
        <v>663.42700000000002</v>
      </c>
      <c r="M222" s="167">
        <f t="shared" si="39"/>
        <v>652.01599999999996</v>
      </c>
      <c r="N222" s="167">
        <f t="shared" si="39"/>
        <v>166.773</v>
      </c>
      <c r="O222" s="168">
        <f t="shared" si="39"/>
        <v>7.2169999999999996</v>
      </c>
      <c r="P222" s="168">
        <f t="shared" si="39"/>
        <v>0.84750000000000003</v>
      </c>
      <c r="Q222" s="168">
        <f t="shared" si="39"/>
        <v>28.56</v>
      </c>
      <c r="R222" s="233"/>
      <c r="S222" s="233"/>
    </row>
    <row r="223" spans="1:19" s="37" customFormat="1" x14ac:dyDescent="0.2">
      <c r="A223" s="279" t="s">
        <v>49</v>
      </c>
      <c r="B223" s="279"/>
      <c r="C223" s="279"/>
      <c r="D223" s="279"/>
      <c r="E223" s="279"/>
      <c r="F223" s="279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</row>
    <row r="224" spans="1:19" s="37" customFormat="1" ht="18" x14ac:dyDescent="0.2">
      <c r="A224" s="279" t="s">
        <v>3</v>
      </c>
      <c r="B224" s="280"/>
      <c r="C224" s="280"/>
      <c r="D224" s="280"/>
      <c r="E224" s="280"/>
      <c r="F224" s="280"/>
      <c r="G224" s="280"/>
      <c r="H224" s="280"/>
      <c r="I224" s="280"/>
      <c r="J224" s="280"/>
      <c r="K224" s="280"/>
      <c r="L224" s="280"/>
      <c r="M224" s="280"/>
      <c r="N224" s="280"/>
      <c r="O224" s="280"/>
      <c r="P224" s="280"/>
      <c r="Q224" s="280"/>
      <c r="R224" s="280"/>
      <c r="S224" s="280"/>
    </row>
    <row r="225" spans="1:19" s="63" customFormat="1" x14ac:dyDescent="0.2">
      <c r="A225" s="49">
        <v>1</v>
      </c>
      <c r="B225" s="47" t="s">
        <v>14</v>
      </c>
      <c r="C225" s="41">
        <v>150</v>
      </c>
      <c r="D225" s="176">
        <f>14.2*C225/100</f>
        <v>21.3</v>
      </c>
      <c r="E225" s="176">
        <f>9.6*C225/100</f>
        <v>14.4</v>
      </c>
      <c r="F225" s="176">
        <f>14.4*C225/100</f>
        <v>21.6</v>
      </c>
      <c r="G225" s="176">
        <f>200.8*C225/100</f>
        <v>301.2</v>
      </c>
      <c r="H225" s="42">
        <f>0.06*C225/100</f>
        <v>0.09</v>
      </c>
      <c r="I225" s="42">
        <f>0.22*C225/100</f>
        <v>0.33</v>
      </c>
      <c r="J225" s="42">
        <f>0.07*C225/100</f>
        <v>0.10500000000000002</v>
      </c>
      <c r="K225" s="42">
        <f>0.44*C225/100</f>
        <v>0.66</v>
      </c>
      <c r="L225" s="48">
        <f>140.96*C225/100</f>
        <v>211.44</v>
      </c>
      <c r="M225" s="48">
        <f>205.55*C225/100</f>
        <v>308.32499999999999</v>
      </c>
      <c r="N225" s="48">
        <f>20.84*C225/100</f>
        <v>31.26</v>
      </c>
      <c r="O225" s="42">
        <f>0.66*C225/100</f>
        <v>0.99</v>
      </c>
      <c r="P225" s="49">
        <f>0.25*C225/100</f>
        <v>0.375</v>
      </c>
      <c r="Q225" s="49">
        <f>1.61*C225/100</f>
        <v>2.4150000000000005</v>
      </c>
      <c r="R225" s="233">
        <v>120313</v>
      </c>
      <c r="S225" s="233">
        <v>120314</v>
      </c>
    </row>
    <row r="226" spans="1:19" s="63" customFormat="1" x14ac:dyDescent="0.2">
      <c r="A226" s="49">
        <v>2</v>
      </c>
      <c r="B226" s="47" t="s">
        <v>240</v>
      </c>
      <c r="C226" s="41">
        <v>30</v>
      </c>
      <c r="D226" s="176">
        <f>1.7*C226/100</f>
        <v>0.51</v>
      </c>
      <c r="E226" s="176">
        <f>5.2*C226/100</f>
        <v>1.56</v>
      </c>
      <c r="F226" s="176">
        <f>7.1*C226/100</f>
        <v>2.13</v>
      </c>
      <c r="G226" s="176">
        <f>82*C226/100</f>
        <v>24.6</v>
      </c>
      <c r="H226" s="42">
        <f>0.02*C226/100</f>
        <v>6.0000000000000001E-3</v>
      </c>
      <c r="I226" s="42">
        <f>30.6*C226/100</f>
        <v>9.18</v>
      </c>
      <c r="J226" s="42">
        <f>0*C226/100</f>
        <v>0</v>
      </c>
      <c r="K226" s="42">
        <f>0*C226/100</f>
        <v>0</v>
      </c>
      <c r="L226" s="48">
        <f>22.2*C226/100</f>
        <v>6.66</v>
      </c>
      <c r="M226" s="48">
        <f>0*C226/100</f>
        <v>0</v>
      </c>
      <c r="N226" s="48">
        <f>0*C226/100</f>
        <v>0</v>
      </c>
      <c r="O226" s="42">
        <f>0.18*C226/100</f>
        <v>5.3999999999999992E-2</v>
      </c>
      <c r="P226" s="49">
        <f>0.03*C226/100</f>
        <v>8.9999999999999993E-3</v>
      </c>
      <c r="Q226" s="49">
        <v>0.48</v>
      </c>
      <c r="R226" s="233">
        <v>140203</v>
      </c>
      <c r="S226" s="233">
        <v>140204</v>
      </c>
    </row>
    <row r="227" spans="1:19" s="63" customFormat="1" x14ac:dyDescent="0.2">
      <c r="A227" s="49">
        <v>3</v>
      </c>
      <c r="B227" s="47" t="s">
        <v>233</v>
      </c>
      <c r="C227" s="41">
        <v>200</v>
      </c>
      <c r="D227" s="166">
        <f>0*C227/100</f>
        <v>0</v>
      </c>
      <c r="E227" s="166">
        <f>0*C227/100</f>
        <v>0</v>
      </c>
      <c r="F227" s="166">
        <f>0*C227/100</f>
        <v>0</v>
      </c>
      <c r="G227" s="166">
        <f>17*C227/100</f>
        <v>34</v>
      </c>
      <c r="H227" s="42">
        <v>0</v>
      </c>
      <c r="I227" s="42">
        <v>0</v>
      </c>
      <c r="J227" s="42">
        <v>0</v>
      </c>
      <c r="K227" s="42">
        <v>0</v>
      </c>
      <c r="L227" s="48">
        <v>4.8600000000000003</v>
      </c>
      <c r="M227" s="48">
        <v>0</v>
      </c>
      <c r="N227" s="48">
        <v>1.08</v>
      </c>
      <c r="O227" s="42">
        <v>0</v>
      </c>
      <c r="P227" s="49">
        <v>0</v>
      </c>
      <c r="Q227" s="49">
        <v>0</v>
      </c>
      <c r="R227" s="233">
        <v>160107</v>
      </c>
      <c r="S227" s="233"/>
    </row>
    <row r="228" spans="1:19" s="63" customFormat="1" x14ac:dyDescent="0.3">
      <c r="A228" s="49">
        <v>4</v>
      </c>
      <c r="B228" s="47" t="s">
        <v>140</v>
      </c>
      <c r="C228" s="41">
        <v>10</v>
      </c>
      <c r="D228" s="166">
        <f>0*C228/100</f>
        <v>0</v>
      </c>
      <c r="E228" s="166">
        <f>0*C228/100</f>
        <v>0</v>
      </c>
      <c r="F228" s="166">
        <f>99.8*C228/100</f>
        <v>9.98</v>
      </c>
      <c r="G228" s="166">
        <f>374.3*C228/100</f>
        <v>37.43</v>
      </c>
      <c r="H228" s="42">
        <v>0</v>
      </c>
      <c r="I228" s="42">
        <v>0</v>
      </c>
      <c r="J228" s="42">
        <v>0</v>
      </c>
      <c r="K228" s="42">
        <v>0</v>
      </c>
      <c r="L228" s="42">
        <v>0.2</v>
      </c>
      <c r="M228" s="42">
        <v>0</v>
      </c>
      <c r="N228" s="42">
        <v>0</v>
      </c>
      <c r="O228" s="42">
        <v>0.03</v>
      </c>
      <c r="P228" s="55">
        <v>0</v>
      </c>
      <c r="Q228" s="55">
        <v>0</v>
      </c>
      <c r="R228" s="233"/>
      <c r="S228" s="233"/>
    </row>
    <row r="229" spans="1:19" s="63" customFormat="1" x14ac:dyDescent="0.2">
      <c r="A229" s="49">
        <v>5</v>
      </c>
      <c r="B229" s="47" t="s">
        <v>160</v>
      </c>
      <c r="C229" s="41">
        <v>20</v>
      </c>
      <c r="D229" s="42">
        <f>7.76*C229/100</f>
        <v>1.5519999999999998</v>
      </c>
      <c r="E229" s="42">
        <f>2.65*C229/100</f>
        <v>0.53</v>
      </c>
      <c r="F229" s="42">
        <f>53.25*C229/100</f>
        <v>10.65</v>
      </c>
      <c r="G229" s="42">
        <f>273*C229/100</f>
        <v>54.6</v>
      </c>
      <c r="H229" s="42">
        <f>0.34*C229/100</f>
        <v>6.8000000000000005E-2</v>
      </c>
      <c r="I229" s="42">
        <f>0*C229/100</f>
        <v>0</v>
      </c>
      <c r="J229" s="42">
        <v>0</v>
      </c>
      <c r="K229" s="42">
        <f>1.5*C229/100</f>
        <v>0.3</v>
      </c>
      <c r="L229" s="48">
        <f>148.1*C229/100</f>
        <v>29.62</v>
      </c>
      <c r="M229" s="48">
        <f>0*C229/100</f>
        <v>0</v>
      </c>
      <c r="N229" s="48">
        <f>16*C229/100</f>
        <v>3.2</v>
      </c>
      <c r="O229" s="42">
        <f>2.4*C229/100</f>
        <v>0.48</v>
      </c>
      <c r="P229" s="56">
        <f>0.2*C229/100</f>
        <v>0.04</v>
      </c>
      <c r="Q229" s="56">
        <f>1.5*C229/100</f>
        <v>0.3</v>
      </c>
      <c r="R229" s="233">
        <v>200102</v>
      </c>
      <c r="S229" s="233"/>
    </row>
    <row r="230" spans="1:19" s="63" customFormat="1" ht="37.5" x14ac:dyDescent="0.2">
      <c r="A230" s="49">
        <v>6</v>
      </c>
      <c r="B230" s="47" t="s">
        <v>164</v>
      </c>
      <c r="C230" s="41">
        <v>10</v>
      </c>
      <c r="D230" s="42">
        <f>0.5*C230/100</f>
        <v>0.05</v>
      </c>
      <c r="E230" s="42">
        <f>82.5*C230/100</f>
        <v>8.25</v>
      </c>
      <c r="F230" s="42">
        <f>0.8*C230/100</f>
        <v>0.08</v>
      </c>
      <c r="G230" s="42">
        <f>748*C230/100</f>
        <v>74.8</v>
      </c>
      <c r="H230" s="42">
        <v>0</v>
      </c>
      <c r="I230" s="42">
        <v>0</v>
      </c>
      <c r="J230" s="42">
        <f>0.4*C230/100</f>
        <v>0.04</v>
      </c>
      <c r="K230" s="42">
        <f>1*C230/100</f>
        <v>0.1</v>
      </c>
      <c r="L230" s="48">
        <f>12*C230/100</f>
        <v>1.2</v>
      </c>
      <c r="M230" s="48">
        <f>19*C230/100</f>
        <v>1.9</v>
      </c>
      <c r="N230" s="48">
        <f>0*C230/100</f>
        <v>0</v>
      </c>
      <c r="O230" s="42">
        <f>0.2*C230/100</f>
        <v>0.02</v>
      </c>
      <c r="P230" s="56">
        <f>0.1*C230/100</f>
        <v>0.01</v>
      </c>
      <c r="Q230" s="49">
        <v>0</v>
      </c>
      <c r="R230" s="233"/>
      <c r="S230" s="233"/>
    </row>
    <row r="231" spans="1:19" s="46" customFormat="1" ht="18.75" customHeight="1" x14ac:dyDescent="0.3">
      <c r="A231" s="49">
        <v>7</v>
      </c>
      <c r="B231" s="47" t="s">
        <v>232</v>
      </c>
      <c r="C231" s="41" t="s">
        <v>274</v>
      </c>
      <c r="D231" s="42">
        <v>0.64</v>
      </c>
      <c r="E231" s="42">
        <v>0.16</v>
      </c>
      <c r="F231" s="42">
        <v>6</v>
      </c>
      <c r="G231" s="42">
        <v>30.4</v>
      </c>
      <c r="H231" s="42">
        <v>4.8000000000000001E-2</v>
      </c>
      <c r="I231" s="42">
        <v>30.4</v>
      </c>
      <c r="J231" s="42">
        <v>0</v>
      </c>
      <c r="K231" s="42">
        <v>0.16</v>
      </c>
      <c r="L231" s="42">
        <v>28</v>
      </c>
      <c r="M231" s="42">
        <v>13.6</v>
      </c>
      <c r="N231" s="42">
        <v>8.8000000000000007</v>
      </c>
      <c r="O231" s="42">
        <v>0</v>
      </c>
      <c r="P231" s="55">
        <v>2.4E-2</v>
      </c>
      <c r="Q231" s="55">
        <v>1.4</v>
      </c>
      <c r="R231" s="235">
        <v>210104</v>
      </c>
      <c r="S231" s="235"/>
    </row>
    <row r="232" spans="1:19" s="37" customFormat="1" x14ac:dyDescent="0.2">
      <c r="A232" s="49"/>
      <c r="B232" s="132" t="s">
        <v>4</v>
      </c>
      <c r="C232" s="120"/>
      <c r="D232" s="169">
        <f t="shared" ref="D232:Q232" si="40">SUM(D225:D231)</f>
        <v>24.052000000000003</v>
      </c>
      <c r="E232" s="169">
        <f t="shared" si="40"/>
        <v>24.900000000000002</v>
      </c>
      <c r="F232" s="169">
        <f t="shared" si="40"/>
        <v>50.44</v>
      </c>
      <c r="G232" s="169">
        <f t="shared" si="40"/>
        <v>557.03</v>
      </c>
      <c r="H232" s="169">
        <f t="shared" si="40"/>
        <v>0.21200000000000002</v>
      </c>
      <c r="I232" s="169">
        <f t="shared" si="40"/>
        <v>39.909999999999997</v>
      </c>
      <c r="J232" s="169">
        <f t="shared" si="40"/>
        <v>0.14500000000000002</v>
      </c>
      <c r="K232" s="169">
        <f t="shared" si="40"/>
        <v>1.22</v>
      </c>
      <c r="L232" s="152">
        <f t="shared" si="40"/>
        <v>281.98</v>
      </c>
      <c r="M232" s="152">
        <f t="shared" si="40"/>
        <v>323.82499999999999</v>
      </c>
      <c r="N232" s="152">
        <f t="shared" si="40"/>
        <v>44.34</v>
      </c>
      <c r="O232" s="169">
        <f t="shared" si="40"/>
        <v>1.5740000000000001</v>
      </c>
      <c r="P232" s="125">
        <f t="shared" si="40"/>
        <v>0.45800000000000002</v>
      </c>
      <c r="Q232" s="125">
        <f t="shared" si="40"/>
        <v>4.5950000000000006</v>
      </c>
      <c r="R232" s="233"/>
      <c r="S232" s="233"/>
    </row>
    <row r="233" spans="1:19" s="37" customFormat="1" ht="18" x14ac:dyDescent="0.2">
      <c r="A233" s="279" t="s">
        <v>5</v>
      </c>
      <c r="B233" s="280"/>
      <c r="C233" s="280"/>
      <c r="D233" s="280"/>
      <c r="E233" s="280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  <c r="P233" s="280"/>
      <c r="Q233" s="280"/>
      <c r="R233" s="280"/>
      <c r="S233" s="280"/>
    </row>
    <row r="234" spans="1:19" s="63" customFormat="1" x14ac:dyDescent="0.2">
      <c r="A234" s="49">
        <v>1</v>
      </c>
      <c r="B234" s="47" t="s">
        <v>65</v>
      </c>
      <c r="C234" s="41">
        <v>60</v>
      </c>
      <c r="D234" s="42">
        <f>0.95*C234/100</f>
        <v>0.56999999999999995</v>
      </c>
      <c r="E234" s="42">
        <f>15.15*C234/100</f>
        <v>9.09</v>
      </c>
      <c r="F234" s="42">
        <f>3.19*C234/100</f>
        <v>1.9140000000000001</v>
      </c>
      <c r="G234" s="42">
        <f>155.01*C234/100</f>
        <v>93.005999999999986</v>
      </c>
      <c r="H234" s="42">
        <f>0.05*$C234/100</f>
        <v>0.03</v>
      </c>
      <c r="I234" s="42">
        <f>19.58*$C234/100</f>
        <v>11.747999999999999</v>
      </c>
      <c r="J234" s="42">
        <f>0*$C234/100</f>
        <v>0</v>
      </c>
      <c r="K234" s="42">
        <f>3.18*$C234/100</f>
        <v>1.9080000000000001</v>
      </c>
      <c r="L234" s="48">
        <f>17.06*$C234/100</f>
        <v>10.235999999999999</v>
      </c>
      <c r="M234" s="48">
        <f>22.4*$C234/100</f>
        <v>13.44</v>
      </c>
      <c r="N234" s="48">
        <f>16.88*$C234/100</f>
        <v>10.128</v>
      </c>
      <c r="O234" s="42">
        <f>0.77*$C234/100</f>
        <v>0.46200000000000002</v>
      </c>
      <c r="P234" s="49">
        <f>0.04*C234/100</f>
        <v>2.4E-2</v>
      </c>
      <c r="Q234" s="49">
        <v>3.32</v>
      </c>
      <c r="R234" s="233">
        <v>100506</v>
      </c>
      <c r="S234" s="233"/>
    </row>
    <row r="235" spans="1:19" s="63" customFormat="1" x14ac:dyDescent="0.2">
      <c r="A235" s="49">
        <v>2</v>
      </c>
      <c r="B235" s="47" t="s">
        <v>179</v>
      </c>
      <c r="C235" s="41">
        <v>250</v>
      </c>
      <c r="D235" s="42">
        <f>1.05*C235/100</f>
        <v>2.625</v>
      </c>
      <c r="E235" s="42">
        <f>2.6*C235/100</f>
        <v>6.5</v>
      </c>
      <c r="F235" s="42">
        <f>1.8*C235/100</f>
        <v>4.5</v>
      </c>
      <c r="G235" s="42">
        <f>29.2*C235/100</f>
        <v>73</v>
      </c>
      <c r="H235" s="42">
        <f>0.04*C235/100</f>
        <v>0.1</v>
      </c>
      <c r="I235" s="42">
        <f>8.87*C235/100</f>
        <v>22.175000000000001</v>
      </c>
      <c r="J235" s="42">
        <f>0.01*C235/100</f>
        <v>2.5000000000000001E-2</v>
      </c>
      <c r="K235" s="42">
        <f>0.08*C235/100</f>
        <v>0.2</v>
      </c>
      <c r="L235" s="48">
        <f>38.5*C235/100</f>
        <v>96.25</v>
      </c>
      <c r="M235" s="48">
        <f>37.58*C235/100</f>
        <v>93.95</v>
      </c>
      <c r="N235" s="48">
        <f>27.73*C235/100</f>
        <v>69.325000000000003</v>
      </c>
      <c r="O235" s="42">
        <f>1.08*C235/100</f>
        <v>2.7</v>
      </c>
      <c r="P235" s="49">
        <f>0.07*C235/100</f>
        <v>0.17499999999999999</v>
      </c>
      <c r="Q235" s="49">
        <v>3.63</v>
      </c>
      <c r="R235" s="233">
        <v>110107</v>
      </c>
      <c r="S235" s="233">
        <v>110108</v>
      </c>
    </row>
    <row r="236" spans="1:19" s="63" customFormat="1" x14ac:dyDescent="0.2">
      <c r="A236" s="49">
        <v>3</v>
      </c>
      <c r="B236" s="47" t="s">
        <v>170</v>
      </c>
      <c r="C236" s="41">
        <v>20</v>
      </c>
      <c r="D236" s="42">
        <f>12.7*C236/100</f>
        <v>2.54</v>
      </c>
      <c r="E236" s="42">
        <f>11.5*C236/100</f>
        <v>2.2999999999999998</v>
      </c>
      <c r="F236" s="42">
        <f>0.7*C236/100</f>
        <v>0.14000000000000001</v>
      </c>
      <c r="G236" s="42">
        <f>157*C236/100</f>
        <v>31.4</v>
      </c>
      <c r="H236" s="42">
        <f>0.07*C236/100</f>
        <v>1.4000000000000002E-2</v>
      </c>
      <c r="I236" s="42">
        <f>0*C236/100</f>
        <v>0</v>
      </c>
      <c r="J236" s="42">
        <f>0.25*C236/100</f>
        <v>0.05</v>
      </c>
      <c r="K236" s="42">
        <f>0*C236/100</f>
        <v>0</v>
      </c>
      <c r="L236" s="48">
        <f>55*C236/100</f>
        <v>11</v>
      </c>
      <c r="M236" s="48">
        <f>0.2*C236/100</f>
        <v>0.04</v>
      </c>
      <c r="N236" s="48">
        <f>12.06*C236/100</f>
        <v>2.4120000000000004</v>
      </c>
      <c r="O236" s="42">
        <f>2.5*C236/100</f>
        <v>0.5</v>
      </c>
      <c r="P236" s="49">
        <f>0.44*C236/100</f>
        <v>8.8000000000000009E-2</v>
      </c>
      <c r="Q236" s="49">
        <f>20*C236/100</f>
        <v>4</v>
      </c>
      <c r="R236" s="233">
        <v>120304</v>
      </c>
      <c r="S236" s="233"/>
    </row>
    <row r="237" spans="1:19" s="63" customFormat="1" x14ac:dyDescent="0.2">
      <c r="A237" s="49">
        <v>5</v>
      </c>
      <c r="B237" s="47" t="s">
        <v>37</v>
      </c>
      <c r="C237" s="41">
        <v>200</v>
      </c>
      <c r="D237" s="42">
        <f>14*C237/100</f>
        <v>28</v>
      </c>
      <c r="E237" s="42">
        <f>3*C237/100</f>
        <v>6</v>
      </c>
      <c r="F237" s="42">
        <f>14.3*C237/100</f>
        <v>28.6</v>
      </c>
      <c r="G237" s="42">
        <f>140.2*C237/100</f>
        <v>280.39999999999998</v>
      </c>
      <c r="H237" s="42">
        <f>0.1*C237/100</f>
        <v>0.2</v>
      </c>
      <c r="I237" s="42">
        <f>4.37*C237/100</f>
        <v>8.74</v>
      </c>
      <c r="J237" s="42">
        <f>0.02*C237/100</f>
        <v>0.04</v>
      </c>
      <c r="K237" s="42">
        <f>0.19*C237/100</f>
        <v>0.38</v>
      </c>
      <c r="L237" s="48">
        <f>21.9*C237/100</f>
        <v>43.8</v>
      </c>
      <c r="M237" s="48">
        <f>141.56*C237/100</f>
        <v>283.12</v>
      </c>
      <c r="N237" s="48">
        <f>30.33*C237/100</f>
        <v>60.66</v>
      </c>
      <c r="O237" s="42">
        <f>2.15*C237/100</f>
        <v>4.3</v>
      </c>
      <c r="P237" s="49">
        <f>0.13*C237/100</f>
        <v>0.26</v>
      </c>
      <c r="Q237" s="49">
        <v>3.68</v>
      </c>
      <c r="R237" s="233">
        <v>120511</v>
      </c>
      <c r="S237" s="233">
        <v>120512</v>
      </c>
    </row>
    <row r="238" spans="1:19" s="52" customFormat="1" x14ac:dyDescent="0.2">
      <c r="A238" s="49">
        <v>6</v>
      </c>
      <c r="B238" s="47" t="s">
        <v>123</v>
      </c>
      <c r="C238" s="41">
        <v>200</v>
      </c>
      <c r="D238" s="42">
        <f>0.06*C238/100</f>
        <v>0.12</v>
      </c>
      <c r="E238" s="42">
        <f>0.02*C238/100</f>
        <v>0.04</v>
      </c>
      <c r="F238" s="42">
        <f>8.35*C238/100</f>
        <v>16.7</v>
      </c>
      <c r="G238" s="42">
        <f>25.02*C238/100</f>
        <v>50.04</v>
      </c>
      <c r="H238" s="42">
        <f>0*C238/100</f>
        <v>0</v>
      </c>
      <c r="I238" s="42">
        <f>1.65*C238/100</f>
        <v>3.3</v>
      </c>
      <c r="J238" s="42">
        <f>0*C238/100</f>
        <v>0</v>
      </c>
      <c r="K238" s="42">
        <v>0</v>
      </c>
      <c r="L238" s="48">
        <f>5.76*C238/100</f>
        <v>11.52</v>
      </c>
      <c r="M238" s="48">
        <f>1.21*C238/100</f>
        <v>2.42</v>
      </c>
      <c r="N238" s="48">
        <f>2.55*C238/100</f>
        <v>5.0999999999999996</v>
      </c>
      <c r="O238" s="42">
        <f>0.08*C238/100</f>
        <v>0.16</v>
      </c>
      <c r="P238" s="62">
        <v>0</v>
      </c>
      <c r="Q238" s="62">
        <v>2.3199999999999998</v>
      </c>
      <c r="R238" s="233">
        <v>160206</v>
      </c>
      <c r="S238" s="233"/>
    </row>
    <row r="239" spans="1:19" s="63" customFormat="1" x14ac:dyDescent="0.2">
      <c r="A239" s="49">
        <v>7</v>
      </c>
      <c r="B239" s="47" t="s">
        <v>160</v>
      </c>
      <c r="C239" s="41">
        <v>40</v>
      </c>
      <c r="D239" s="42">
        <f>7.76*C239/100</f>
        <v>3.1039999999999996</v>
      </c>
      <c r="E239" s="42">
        <f>2.65*C239/100</f>
        <v>1.06</v>
      </c>
      <c r="F239" s="42">
        <f>53.25*C239/100</f>
        <v>21.3</v>
      </c>
      <c r="G239" s="42">
        <f>273*C239/100</f>
        <v>109.2</v>
      </c>
      <c r="H239" s="42">
        <f>0.34*C239/100</f>
        <v>0.13600000000000001</v>
      </c>
      <c r="I239" s="42">
        <f>0*C239/100</f>
        <v>0</v>
      </c>
      <c r="J239" s="42">
        <v>0</v>
      </c>
      <c r="K239" s="42">
        <f>1.5*C239/100</f>
        <v>0.6</v>
      </c>
      <c r="L239" s="48">
        <f>148.1*C239/100</f>
        <v>59.24</v>
      </c>
      <c r="M239" s="48">
        <f>0*C239/100</f>
        <v>0</v>
      </c>
      <c r="N239" s="48">
        <f>16*C239/100</f>
        <v>6.4</v>
      </c>
      <c r="O239" s="42">
        <f>2.4*C239/100</f>
        <v>0.96</v>
      </c>
      <c r="P239" s="56">
        <f>0.2*C239/100</f>
        <v>0.08</v>
      </c>
      <c r="Q239" s="56">
        <f>1.5*C239/100</f>
        <v>0.6</v>
      </c>
      <c r="R239" s="233">
        <v>200102</v>
      </c>
      <c r="S239" s="233"/>
    </row>
    <row r="240" spans="1:19" s="63" customFormat="1" x14ac:dyDescent="0.2">
      <c r="A240" s="49">
        <v>8</v>
      </c>
      <c r="B240" s="47" t="s">
        <v>222</v>
      </c>
      <c r="C240" s="41">
        <v>40</v>
      </c>
      <c r="D240" s="42">
        <f>9.4*C240/100</f>
        <v>3.76</v>
      </c>
      <c r="E240" s="42">
        <f>5.8*C240/100</f>
        <v>2.3199999999999998</v>
      </c>
      <c r="F240" s="42">
        <f>52.7*C240/100</f>
        <v>21.08</v>
      </c>
      <c r="G240" s="42">
        <f>300.6*C240/100</f>
        <v>120.24</v>
      </c>
      <c r="H240" s="42">
        <f>0.4*C240/100</f>
        <v>0.16</v>
      </c>
      <c r="I240" s="42">
        <f>0.03*C240/100</f>
        <v>1.2E-2</v>
      </c>
      <c r="J240" s="42">
        <v>0</v>
      </c>
      <c r="K240" s="42">
        <f>1.7*C240/100</f>
        <v>0.68</v>
      </c>
      <c r="L240" s="48">
        <f>25.4*C240/100</f>
        <v>10.16</v>
      </c>
      <c r="M240" s="48">
        <f>105.53*C240/100</f>
        <v>42.211999999999996</v>
      </c>
      <c r="N240" s="48">
        <f>36.5*C240/100</f>
        <v>14.6</v>
      </c>
      <c r="O240" s="42">
        <f>2.45*C240/100</f>
        <v>0.98</v>
      </c>
      <c r="P240" s="56">
        <f>0.2*C240/100</f>
        <v>0.08</v>
      </c>
      <c r="Q240" s="56">
        <v>0</v>
      </c>
      <c r="R240" s="233">
        <v>190101</v>
      </c>
      <c r="S240" s="233"/>
    </row>
    <row r="241" spans="1:19" s="37" customFormat="1" x14ac:dyDescent="0.2">
      <c r="A241" s="49"/>
      <c r="B241" s="132" t="s">
        <v>4</v>
      </c>
      <c r="C241" s="120"/>
      <c r="D241" s="168">
        <f t="shared" ref="D241:Q241" si="41">SUM(D234:D240)</f>
        <v>40.718999999999994</v>
      </c>
      <c r="E241" s="168">
        <f t="shared" si="41"/>
        <v>27.31</v>
      </c>
      <c r="F241" s="168">
        <f t="shared" si="41"/>
        <v>94.233999999999995</v>
      </c>
      <c r="G241" s="168">
        <f t="shared" si="41"/>
        <v>757.28599999999994</v>
      </c>
      <c r="H241" s="168">
        <f t="shared" si="41"/>
        <v>0.64</v>
      </c>
      <c r="I241" s="168">
        <f t="shared" si="41"/>
        <v>45.975000000000001</v>
      </c>
      <c r="J241" s="168">
        <f t="shared" si="41"/>
        <v>0.11500000000000002</v>
      </c>
      <c r="K241" s="168">
        <f t="shared" si="41"/>
        <v>3.7680000000000002</v>
      </c>
      <c r="L241" s="167">
        <f t="shared" si="41"/>
        <v>242.20600000000002</v>
      </c>
      <c r="M241" s="167">
        <f t="shared" si="41"/>
        <v>435.18200000000002</v>
      </c>
      <c r="N241" s="167">
        <f t="shared" si="41"/>
        <v>168.625</v>
      </c>
      <c r="O241" s="168">
        <f t="shared" si="41"/>
        <v>10.062000000000001</v>
      </c>
      <c r="P241" s="125">
        <f t="shared" si="41"/>
        <v>0.70699999999999985</v>
      </c>
      <c r="Q241" s="125">
        <f t="shared" si="41"/>
        <v>17.55</v>
      </c>
      <c r="R241" s="233"/>
      <c r="S241" s="233"/>
    </row>
    <row r="242" spans="1:19" s="37" customFormat="1" ht="18" x14ac:dyDescent="0.2">
      <c r="A242" s="279" t="s">
        <v>35</v>
      </c>
      <c r="B242" s="280"/>
      <c r="C242" s="280"/>
      <c r="D242" s="280"/>
      <c r="E242" s="280"/>
      <c r="F242" s="280"/>
      <c r="G242" s="280"/>
      <c r="H242" s="280"/>
      <c r="I242" s="280"/>
      <c r="J242" s="280"/>
      <c r="K242" s="280"/>
      <c r="L242" s="280"/>
      <c r="M242" s="280"/>
      <c r="N242" s="280"/>
      <c r="O242" s="280"/>
      <c r="P242" s="280"/>
      <c r="Q242" s="280"/>
      <c r="R242" s="280"/>
      <c r="S242" s="280"/>
    </row>
    <row r="243" spans="1:19" s="63" customFormat="1" x14ac:dyDescent="0.2">
      <c r="A243" s="49">
        <v>1</v>
      </c>
      <c r="B243" s="47" t="s">
        <v>34</v>
      </c>
      <c r="C243" s="41">
        <v>50</v>
      </c>
      <c r="D243" s="184">
        <f>5.7*C243/100</f>
        <v>2.85</v>
      </c>
      <c r="E243" s="184">
        <f>20.3*C243/100</f>
        <v>10.15</v>
      </c>
      <c r="F243" s="184">
        <f>57.3*C243/100</f>
        <v>28.65</v>
      </c>
      <c r="G243" s="184">
        <f>430.7*C243/100</f>
        <v>215.35</v>
      </c>
      <c r="H243" s="42">
        <f>0.12*C243/100</f>
        <v>0.06</v>
      </c>
      <c r="I243" s="42">
        <f>0*C243/100</f>
        <v>0</v>
      </c>
      <c r="J243" s="42">
        <f>0.13*C243/100</f>
        <v>6.5000000000000002E-2</v>
      </c>
      <c r="K243" s="42">
        <f>5.55*C243/100</f>
        <v>2.7749999999999999</v>
      </c>
      <c r="L243" s="48">
        <f>44.66*C243/100</f>
        <v>22.33</v>
      </c>
      <c r="M243" s="48">
        <f>148.03*C243/100</f>
        <v>74.015000000000001</v>
      </c>
      <c r="N243" s="48">
        <f>21.6*C243/100</f>
        <v>10.8</v>
      </c>
      <c r="O243" s="42">
        <f>1.35*C243/100</f>
        <v>0.67500000000000004</v>
      </c>
      <c r="P243" s="49">
        <v>0.03</v>
      </c>
      <c r="Q243" s="49">
        <v>0.83</v>
      </c>
      <c r="R243" s="233">
        <v>170601</v>
      </c>
      <c r="S243" s="233">
        <v>170602</v>
      </c>
    </row>
    <row r="244" spans="1:19" s="66" customFormat="1" x14ac:dyDescent="0.2">
      <c r="A244" s="49">
        <v>2</v>
      </c>
      <c r="B244" s="47" t="s">
        <v>231</v>
      </c>
      <c r="C244" s="41">
        <v>200</v>
      </c>
      <c r="D244" s="60">
        <f>0.7*C244/100</f>
        <v>1.4</v>
      </c>
      <c r="E244" s="60">
        <v>0</v>
      </c>
      <c r="F244" s="60">
        <f>12*C244/100</f>
        <v>24</v>
      </c>
      <c r="G244" s="60">
        <f>48*C244/100</f>
        <v>96</v>
      </c>
      <c r="H244" s="42">
        <f>0.105*C244/100</f>
        <v>0.21</v>
      </c>
      <c r="I244" s="42">
        <f>2*C244/100</f>
        <v>4</v>
      </c>
      <c r="J244" s="42">
        <f>0.03*C244/100</f>
        <v>0.06</v>
      </c>
      <c r="K244" s="42">
        <f>0.35*C244/100</f>
        <v>0.7</v>
      </c>
      <c r="L244" s="48">
        <f>10.5*C244/100</f>
        <v>21</v>
      </c>
      <c r="M244" s="48">
        <f>8*C244/100</f>
        <v>16</v>
      </c>
      <c r="N244" s="48">
        <f>11.5*C244/100</f>
        <v>23</v>
      </c>
      <c r="O244" s="49">
        <f>0.35*C244/100</f>
        <v>0.7</v>
      </c>
      <c r="P244" s="49">
        <v>0</v>
      </c>
      <c r="Q244" s="49">
        <v>0.4</v>
      </c>
      <c r="R244" s="233"/>
      <c r="S244" s="233"/>
    </row>
    <row r="245" spans="1:19" s="37" customFormat="1" x14ac:dyDescent="0.2">
      <c r="A245" s="49"/>
      <c r="B245" s="132" t="s">
        <v>4</v>
      </c>
      <c r="C245" s="120"/>
      <c r="D245" s="169">
        <f t="shared" ref="D245:Q245" si="42">SUM(D243:D244)</f>
        <v>4.25</v>
      </c>
      <c r="E245" s="169">
        <f t="shared" si="42"/>
        <v>10.15</v>
      </c>
      <c r="F245" s="169">
        <f t="shared" si="42"/>
        <v>52.65</v>
      </c>
      <c r="G245" s="169">
        <f t="shared" si="42"/>
        <v>311.35000000000002</v>
      </c>
      <c r="H245" s="169">
        <f t="shared" si="42"/>
        <v>0.27</v>
      </c>
      <c r="I245" s="169">
        <f t="shared" si="42"/>
        <v>4</v>
      </c>
      <c r="J245" s="169">
        <f t="shared" si="42"/>
        <v>0.125</v>
      </c>
      <c r="K245" s="169">
        <f t="shared" si="42"/>
        <v>3.4749999999999996</v>
      </c>
      <c r="L245" s="152">
        <f t="shared" si="42"/>
        <v>43.33</v>
      </c>
      <c r="M245" s="152">
        <f t="shared" si="42"/>
        <v>90.015000000000001</v>
      </c>
      <c r="N245" s="152">
        <f t="shared" si="42"/>
        <v>33.799999999999997</v>
      </c>
      <c r="O245" s="169">
        <f t="shared" si="42"/>
        <v>1.375</v>
      </c>
      <c r="P245" s="49">
        <f t="shared" si="42"/>
        <v>0.03</v>
      </c>
      <c r="Q245" s="49">
        <f t="shared" si="42"/>
        <v>1.23</v>
      </c>
      <c r="R245" s="233"/>
      <c r="S245" s="233"/>
    </row>
    <row r="246" spans="1:19" s="37" customFormat="1" x14ac:dyDescent="0.2">
      <c r="A246" s="49"/>
      <c r="B246" s="132" t="s">
        <v>7</v>
      </c>
      <c r="C246" s="120"/>
      <c r="D246" s="168">
        <f t="shared" ref="D246:Q246" si="43">D232+D241+D245</f>
        <v>69.021000000000001</v>
      </c>
      <c r="E246" s="168">
        <f t="shared" si="43"/>
        <v>62.36</v>
      </c>
      <c r="F246" s="168">
        <f t="shared" si="43"/>
        <v>197.32399999999998</v>
      </c>
      <c r="G246" s="168">
        <f t="shared" si="43"/>
        <v>1625.6659999999997</v>
      </c>
      <c r="H246" s="168">
        <f t="shared" si="43"/>
        <v>1.1220000000000001</v>
      </c>
      <c r="I246" s="168">
        <f t="shared" si="43"/>
        <v>89.884999999999991</v>
      </c>
      <c r="J246" s="168">
        <f t="shared" si="43"/>
        <v>0.38500000000000001</v>
      </c>
      <c r="K246" s="168">
        <f t="shared" si="43"/>
        <v>8.463000000000001</v>
      </c>
      <c r="L246" s="167">
        <f t="shared" si="43"/>
        <v>567.51600000000008</v>
      </c>
      <c r="M246" s="167">
        <f t="shared" si="43"/>
        <v>849.02200000000005</v>
      </c>
      <c r="N246" s="167">
        <f t="shared" si="43"/>
        <v>246.76499999999999</v>
      </c>
      <c r="O246" s="168">
        <f t="shared" si="43"/>
        <v>13.011000000000001</v>
      </c>
      <c r="P246" s="168">
        <f t="shared" si="43"/>
        <v>1.1949999999999998</v>
      </c>
      <c r="Q246" s="168">
        <f t="shared" si="43"/>
        <v>23.375000000000004</v>
      </c>
      <c r="R246" s="233"/>
      <c r="S246" s="233"/>
    </row>
    <row r="247" spans="1:19" s="37" customFormat="1" x14ac:dyDescent="0.2">
      <c r="A247" s="279" t="s">
        <v>50</v>
      </c>
      <c r="B247" s="279"/>
      <c r="C247" s="279"/>
      <c r="D247" s="279"/>
      <c r="E247" s="279"/>
      <c r="F247" s="279"/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280"/>
      <c r="R247" s="280"/>
      <c r="S247" s="280"/>
    </row>
    <row r="248" spans="1:19" s="37" customFormat="1" ht="18" x14ac:dyDescent="0.2">
      <c r="A248" s="279" t="s">
        <v>3</v>
      </c>
      <c r="B248" s="280"/>
      <c r="C248" s="280"/>
      <c r="D248" s="280"/>
      <c r="E248" s="280"/>
      <c r="F248" s="280"/>
      <c r="G248" s="280"/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0"/>
    </row>
    <row r="249" spans="1:19" s="63" customFormat="1" x14ac:dyDescent="0.2">
      <c r="A249" s="49">
        <v>1</v>
      </c>
      <c r="B249" s="47" t="s">
        <v>262</v>
      </c>
      <c r="C249" s="41">
        <v>150</v>
      </c>
      <c r="D249" s="176">
        <f>3.8*C249/100</f>
        <v>5.7</v>
      </c>
      <c r="E249" s="176">
        <f>4.5*C249/100</f>
        <v>6.75</v>
      </c>
      <c r="F249" s="176">
        <f>17.2*C249/100</f>
        <v>25.8</v>
      </c>
      <c r="G249" s="176">
        <f>124.4*C249/100</f>
        <v>186.6</v>
      </c>
      <c r="H249" s="42">
        <f>0.21*C249/100</f>
        <v>0.315</v>
      </c>
      <c r="I249" s="42">
        <f>7.6*C249/100</f>
        <v>11.4</v>
      </c>
      <c r="J249" s="42">
        <f>0.02*C249/100</f>
        <v>0.03</v>
      </c>
      <c r="K249" s="42">
        <f>0.06*C249/100</f>
        <v>0.09</v>
      </c>
      <c r="L249" s="48">
        <f>5.3*C249/100</f>
        <v>7.95</v>
      </c>
      <c r="M249" s="48">
        <f>68.9*C249/100</f>
        <v>103.35</v>
      </c>
      <c r="N249" s="48">
        <f>46.53*C249/100</f>
        <v>69.795000000000002</v>
      </c>
      <c r="O249" s="42">
        <f>1.57*C249/100</f>
        <v>2.355</v>
      </c>
      <c r="P249" s="49">
        <f>0.05*C249/100</f>
        <v>7.4999999999999997E-2</v>
      </c>
      <c r="Q249" s="49">
        <f>0.34*C249/100</f>
        <v>0.51000000000000012</v>
      </c>
      <c r="R249" s="233">
        <v>120207</v>
      </c>
      <c r="S249" s="233">
        <v>120208</v>
      </c>
    </row>
    <row r="250" spans="1:19" s="63" customFormat="1" x14ac:dyDescent="0.2">
      <c r="A250" s="49">
        <v>2</v>
      </c>
      <c r="B250" s="47" t="s">
        <v>31</v>
      </c>
      <c r="C250" s="59">
        <v>200</v>
      </c>
      <c r="D250" s="60">
        <v>0</v>
      </c>
      <c r="E250" s="60">
        <v>0</v>
      </c>
      <c r="F250" s="60">
        <f>4.99*C250/100</f>
        <v>9.98</v>
      </c>
      <c r="G250" s="42">
        <f>19.95*C250/100</f>
        <v>39.9</v>
      </c>
      <c r="H250" s="42">
        <v>0</v>
      </c>
      <c r="I250" s="42">
        <v>0</v>
      </c>
      <c r="J250" s="42">
        <v>0</v>
      </c>
      <c r="K250" s="42">
        <v>0</v>
      </c>
      <c r="L250" s="48">
        <f>8.15*C250/100</f>
        <v>16.3</v>
      </c>
      <c r="M250" s="48">
        <f>0.02*C250/100</f>
        <v>0.04</v>
      </c>
      <c r="N250" s="48">
        <f>1.79*C250/100</f>
        <v>3.58</v>
      </c>
      <c r="O250" s="42">
        <f>0.02*C250/100</f>
        <v>0.04</v>
      </c>
      <c r="P250" s="49">
        <f>0.01*C250/100</f>
        <v>0.02</v>
      </c>
      <c r="Q250" s="49">
        <v>0.48</v>
      </c>
      <c r="R250" s="233">
        <v>160105</v>
      </c>
      <c r="S250" s="233"/>
    </row>
    <row r="251" spans="1:19" s="63" customFormat="1" x14ac:dyDescent="0.2">
      <c r="A251" s="49">
        <v>3</v>
      </c>
      <c r="B251" s="47" t="s">
        <v>160</v>
      </c>
      <c r="C251" s="41">
        <v>20</v>
      </c>
      <c r="D251" s="42">
        <f>7.76*C251/100</f>
        <v>1.5519999999999998</v>
      </c>
      <c r="E251" s="42">
        <f>2.65*C251/100</f>
        <v>0.53</v>
      </c>
      <c r="F251" s="42">
        <f>53.25*C251/100</f>
        <v>10.65</v>
      </c>
      <c r="G251" s="42">
        <f>273*C251/100</f>
        <v>54.6</v>
      </c>
      <c r="H251" s="42">
        <f>0.34*C251/100</f>
        <v>6.8000000000000005E-2</v>
      </c>
      <c r="I251" s="42">
        <f>0*C251/100</f>
        <v>0</v>
      </c>
      <c r="J251" s="42">
        <v>0</v>
      </c>
      <c r="K251" s="42">
        <f>1.5*C251/100</f>
        <v>0.3</v>
      </c>
      <c r="L251" s="48">
        <f>148.1*C251/100</f>
        <v>29.62</v>
      </c>
      <c r="M251" s="48">
        <f>0*C251/100</f>
        <v>0</v>
      </c>
      <c r="N251" s="48">
        <f>16*C251/100</f>
        <v>3.2</v>
      </c>
      <c r="O251" s="42">
        <f>2.4*C251/100</f>
        <v>0.48</v>
      </c>
      <c r="P251" s="56">
        <f>0.2*C251/100</f>
        <v>0.04</v>
      </c>
      <c r="Q251" s="56">
        <f>1.5*C251/100</f>
        <v>0.3</v>
      </c>
      <c r="R251" s="233">
        <v>200102</v>
      </c>
      <c r="S251" s="233"/>
    </row>
    <row r="252" spans="1:19" s="65" customFormat="1" ht="56.25" x14ac:dyDescent="0.2">
      <c r="A252" s="49">
        <v>4</v>
      </c>
      <c r="B252" s="178" t="s">
        <v>188</v>
      </c>
      <c r="C252" s="179">
        <v>20</v>
      </c>
      <c r="D252" s="180">
        <f>26*C252/100</f>
        <v>5.2</v>
      </c>
      <c r="E252" s="180">
        <f>26.1*C252/100</f>
        <v>5.22</v>
      </c>
      <c r="F252" s="180">
        <f>0*C252/100</f>
        <v>0</v>
      </c>
      <c r="G252" s="62">
        <f>344*C252/100</f>
        <v>68.8</v>
      </c>
      <c r="H252" s="56">
        <f>0.03*C252/100</f>
        <v>6.0000000000000001E-3</v>
      </c>
      <c r="I252" s="56">
        <f>0.8*C252/100</f>
        <v>0.16</v>
      </c>
      <c r="J252" s="56">
        <f>0.23*C252/100</f>
        <v>4.6000000000000006E-2</v>
      </c>
      <c r="K252" s="56">
        <f>0.5*C252/100</f>
        <v>0.1</v>
      </c>
      <c r="L252" s="123">
        <f>1000*C252/100</f>
        <v>200</v>
      </c>
      <c r="M252" s="123">
        <f>650*C252/100</f>
        <v>130</v>
      </c>
      <c r="N252" s="123">
        <f>45*C252/100</f>
        <v>9</v>
      </c>
      <c r="O252" s="56">
        <f>0.8*C252/100</f>
        <v>0.16</v>
      </c>
      <c r="P252" s="56">
        <f>0.3*C252/100</f>
        <v>0.06</v>
      </c>
      <c r="Q252" s="56">
        <v>0</v>
      </c>
      <c r="R252" s="233">
        <v>100102</v>
      </c>
      <c r="S252" s="237"/>
    </row>
    <row r="253" spans="1:19" s="53" customFormat="1" ht="18.75" customHeight="1" x14ac:dyDescent="0.3">
      <c r="A253" s="49">
        <v>5</v>
      </c>
      <c r="B253" s="47" t="s">
        <v>232</v>
      </c>
      <c r="C253" s="41" t="s">
        <v>274</v>
      </c>
      <c r="D253" s="42">
        <v>3.3</v>
      </c>
      <c r="E253" s="42">
        <v>1.1000000000000001</v>
      </c>
      <c r="F253" s="42">
        <v>46.2</v>
      </c>
      <c r="G253" s="42">
        <v>211.2</v>
      </c>
      <c r="H253" s="42">
        <v>8.8000000000000009E-2</v>
      </c>
      <c r="I253" s="42">
        <v>22</v>
      </c>
      <c r="J253" s="42">
        <v>0</v>
      </c>
      <c r="K253" s="42">
        <v>0.88</v>
      </c>
      <c r="L253" s="42">
        <v>17.600000000000001</v>
      </c>
      <c r="M253" s="42">
        <v>61.6</v>
      </c>
      <c r="N253" s="42">
        <v>92.4</v>
      </c>
      <c r="O253" s="42">
        <v>2.2000000000000001E-3</v>
      </c>
      <c r="P253" s="55">
        <v>0.11</v>
      </c>
      <c r="Q253" s="55">
        <v>0</v>
      </c>
      <c r="R253" s="235">
        <v>210103</v>
      </c>
      <c r="S253" s="235"/>
    </row>
    <row r="254" spans="1:19" s="37" customFormat="1" x14ac:dyDescent="0.2">
      <c r="A254" s="49"/>
      <c r="B254" s="132" t="s">
        <v>4</v>
      </c>
      <c r="C254" s="120"/>
      <c r="D254" s="169">
        <f t="shared" ref="D254:Q254" si="44">SUM(D249:D253)</f>
        <v>15.751999999999999</v>
      </c>
      <c r="E254" s="169">
        <f t="shared" si="44"/>
        <v>13.6</v>
      </c>
      <c r="F254" s="169">
        <f t="shared" si="44"/>
        <v>92.63</v>
      </c>
      <c r="G254" s="169">
        <f t="shared" si="44"/>
        <v>561.1</v>
      </c>
      <c r="H254" s="169">
        <f t="shared" si="44"/>
        <v>0.47700000000000004</v>
      </c>
      <c r="I254" s="169">
        <f t="shared" si="44"/>
        <v>33.56</v>
      </c>
      <c r="J254" s="169">
        <f t="shared" si="44"/>
        <v>7.6000000000000012E-2</v>
      </c>
      <c r="K254" s="169">
        <f t="shared" si="44"/>
        <v>1.37</v>
      </c>
      <c r="L254" s="152">
        <f t="shared" si="44"/>
        <v>271.47000000000003</v>
      </c>
      <c r="M254" s="152">
        <f t="shared" si="44"/>
        <v>294.99</v>
      </c>
      <c r="N254" s="152">
        <f t="shared" si="44"/>
        <v>177.97500000000002</v>
      </c>
      <c r="O254" s="169">
        <f t="shared" si="44"/>
        <v>3.0372000000000003</v>
      </c>
      <c r="P254" s="125">
        <f t="shared" si="44"/>
        <v>0.30499999999999999</v>
      </c>
      <c r="Q254" s="125">
        <f t="shared" si="44"/>
        <v>1.29</v>
      </c>
      <c r="R254" s="233"/>
      <c r="S254" s="233"/>
    </row>
    <row r="255" spans="1:19" s="37" customFormat="1" ht="18" x14ac:dyDescent="0.2">
      <c r="A255" s="279" t="s">
        <v>5</v>
      </c>
      <c r="B255" s="280"/>
      <c r="C255" s="280"/>
      <c r="D255" s="280"/>
      <c r="E255" s="280"/>
      <c r="F255" s="280"/>
      <c r="G255" s="280"/>
      <c r="H255" s="280"/>
      <c r="I255" s="280"/>
      <c r="J255" s="280"/>
      <c r="K255" s="280"/>
      <c r="L255" s="280"/>
      <c r="M255" s="280"/>
      <c r="N255" s="280"/>
      <c r="O255" s="280"/>
      <c r="P255" s="280"/>
      <c r="Q255" s="280"/>
      <c r="R255" s="280"/>
      <c r="S255" s="280"/>
    </row>
    <row r="256" spans="1:19" s="63" customFormat="1" ht="37.5" x14ac:dyDescent="0.2">
      <c r="A256" s="49">
        <v>1</v>
      </c>
      <c r="B256" s="47" t="s">
        <v>220</v>
      </c>
      <c r="C256" s="41">
        <v>60</v>
      </c>
      <c r="D256" s="42">
        <f>12.36*C256/100</f>
        <v>7.4159999999999995</v>
      </c>
      <c r="E256" s="42">
        <f>11.47*C256/100</f>
        <v>6.8820000000000006</v>
      </c>
      <c r="F256" s="42">
        <f>3.18*C256/100</f>
        <v>1.9080000000000001</v>
      </c>
      <c r="G256" s="42">
        <f>165.79*C256/100</f>
        <v>99.47399999999999</v>
      </c>
      <c r="H256" s="42">
        <f>0.14*C256/100</f>
        <v>8.4000000000000005E-2</v>
      </c>
      <c r="I256" s="42">
        <f>49.56*C256/100</f>
        <v>29.736000000000004</v>
      </c>
      <c r="J256" s="42">
        <f>0*C256/100</f>
        <v>0</v>
      </c>
      <c r="K256" s="42">
        <f>3.28*C256/100</f>
        <v>1.9679999999999997</v>
      </c>
      <c r="L256" s="48">
        <f>58.64*C256/100</f>
        <v>35.183999999999997</v>
      </c>
      <c r="M256" s="48">
        <f>175.44*C256/100</f>
        <v>105.264</v>
      </c>
      <c r="N256" s="48">
        <f>71.12*C256/100</f>
        <v>42.672000000000004</v>
      </c>
      <c r="O256" s="42">
        <f>1.1*C256/100</f>
        <v>0.66</v>
      </c>
      <c r="P256" s="49">
        <f>0.1*C256/100</f>
        <v>0.06</v>
      </c>
      <c r="Q256" s="49">
        <v>1.47</v>
      </c>
      <c r="R256" s="233">
        <v>100602</v>
      </c>
      <c r="S256" s="233"/>
    </row>
    <row r="257" spans="1:19" s="63" customFormat="1" x14ac:dyDescent="0.2">
      <c r="A257" s="49">
        <v>2</v>
      </c>
      <c r="B257" s="47" t="s">
        <v>6</v>
      </c>
      <c r="C257" s="41">
        <v>250</v>
      </c>
      <c r="D257" s="42">
        <f>0.6*C257/100</f>
        <v>1.5</v>
      </c>
      <c r="E257" s="42">
        <f>0.7*C257/100</f>
        <v>1.75</v>
      </c>
      <c r="F257" s="42">
        <f>2*C257/100</f>
        <v>5</v>
      </c>
      <c r="G257" s="42">
        <f>16.7*C257/100</f>
        <v>41.75</v>
      </c>
      <c r="H257" s="42">
        <f>0.04*C257/100</f>
        <v>0.1</v>
      </c>
      <c r="I257" s="42">
        <f>10.07*C257/100</f>
        <v>25.175000000000001</v>
      </c>
      <c r="J257" s="42">
        <f>0.01*C257/100</f>
        <v>2.5000000000000001E-2</v>
      </c>
      <c r="K257" s="42">
        <f>0.11*C257/100</f>
        <v>0.27500000000000002</v>
      </c>
      <c r="L257" s="48">
        <f>14.94*C257/100</f>
        <v>37.35</v>
      </c>
      <c r="M257" s="48">
        <f>27.09*C257/100</f>
        <v>67.724999999999994</v>
      </c>
      <c r="N257" s="48">
        <f>11.73*C257/100</f>
        <v>29.324999999999999</v>
      </c>
      <c r="O257" s="42">
        <f>0.37*C257/100</f>
        <v>0.92500000000000004</v>
      </c>
      <c r="P257" s="49">
        <f>0.04*C257/100</f>
        <v>0.1</v>
      </c>
      <c r="Q257" s="49">
        <v>3.25</v>
      </c>
      <c r="R257" s="233">
        <v>110305</v>
      </c>
      <c r="S257" s="233">
        <v>110306</v>
      </c>
    </row>
    <row r="258" spans="1:19" s="63" customFormat="1" x14ac:dyDescent="0.2">
      <c r="A258" s="49">
        <v>3</v>
      </c>
      <c r="B258" s="47" t="s">
        <v>112</v>
      </c>
      <c r="C258" s="41">
        <v>100</v>
      </c>
      <c r="D258" s="42">
        <f>14*C258/100</f>
        <v>14</v>
      </c>
      <c r="E258" s="42">
        <f>7.1*C258/100</f>
        <v>7.1</v>
      </c>
      <c r="F258" s="42">
        <f>14.2*C258/100</f>
        <v>14.2</v>
      </c>
      <c r="G258" s="42">
        <f>176.7*C258/100</f>
        <v>176.7</v>
      </c>
      <c r="H258" s="42">
        <v>3.5999999999999997E-2</v>
      </c>
      <c r="I258" s="42">
        <v>6.0000000000000001E-3</v>
      </c>
      <c r="J258" s="42">
        <v>0</v>
      </c>
      <c r="K258" s="42">
        <v>1.1499999999999999</v>
      </c>
      <c r="L258" s="48">
        <v>30.75</v>
      </c>
      <c r="M258" s="48">
        <v>87.3</v>
      </c>
      <c r="N258" s="48">
        <v>15.6</v>
      </c>
      <c r="O258" s="42">
        <v>0.73</v>
      </c>
      <c r="P258" s="49">
        <v>0.13</v>
      </c>
      <c r="Q258" s="49">
        <v>4.79</v>
      </c>
      <c r="R258" s="233">
        <v>120613</v>
      </c>
      <c r="S258" s="241">
        <v>120614</v>
      </c>
    </row>
    <row r="259" spans="1:19" s="63" customFormat="1" x14ac:dyDescent="0.2">
      <c r="A259" s="49">
        <v>4</v>
      </c>
      <c r="B259" s="47" t="s">
        <v>13</v>
      </c>
      <c r="C259" s="41">
        <v>30</v>
      </c>
      <c r="D259" s="60">
        <f>0.9*C259/100</f>
        <v>0.27</v>
      </c>
      <c r="E259" s="60">
        <f>4.5*C259/100</f>
        <v>1.35</v>
      </c>
      <c r="F259" s="60">
        <f>7.4*C259/100</f>
        <v>2.2200000000000002</v>
      </c>
      <c r="G259" s="60">
        <f>73.7*C259/100</f>
        <v>22.11</v>
      </c>
      <c r="H259" s="42">
        <v>8.9999999999999993E-3</v>
      </c>
      <c r="I259" s="42">
        <v>0.15</v>
      </c>
      <c r="J259" s="42">
        <v>6.0000000000000001E-3</v>
      </c>
      <c r="K259" s="42">
        <v>0.03</v>
      </c>
      <c r="L259" s="48">
        <v>46.05</v>
      </c>
      <c r="M259" s="48">
        <v>32.85</v>
      </c>
      <c r="N259" s="48">
        <v>5.0999999999999996</v>
      </c>
      <c r="O259" s="42">
        <v>0.03</v>
      </c>
      <c r="P259" s="49">
        <v>0.03</v>
      </c>
      <c r="Q259" s="49">
        <v>1.35</v>
      </c>
      <c r="R259" s="233">
        <v>140104</v>
      </c>
      <c r="S259" s="233">
        <v>140105</v>
      </c>
    </row>
    <row r="260" spans="1:19" s="63" customFormat="1" x14ac:dyDescent="0.2">
      <c r="A260" s="49">
        <v>5</v>
      </c>
      <c r="B260" s="47" t="s">
        <v>200</v>
      </c>
      <c r="C260" s="41">
        <v>150</v>
      </c>
      <c r="D260" s="42">
        <f>2.525*C260/100</f>
        <v>3.7875000000000001</v>
      </c>
      <c r="E260" s="42">
        <f>8.225*C260/100</f>
        <v>12.3375</v>
      </c>
      <c r="F260" s="42">
        <f>25.74*C260/100</f>
        <v>38.609999999999992</v>
      </c>
      <c r="G260" s="42">
        <f>187.1*C260/100</f>
        <v>280.64999999999998</v>
      </c>
      <c r="H260" s="42">
        <f>0.02*C260/100</f>
        <v>0.03</v>
      </c>
      <c r="I260" s="42">
        <f>1.35*C260/100</f>
        <v>2.0249999999999999</v>
      </c>
      <c r="J260" s="42">
        <f>0.02*C260/100</f>
        <v>0.03</v>
      </c>
      <c r="K260" s="42">
        <f>0.1*C260/100</f>
        <v>0.15</v>
      </c>
      <c r="L260" s="48">
        <f>2.63*C260/100</f>
        <v>3.9449999999999998</v>
      </c>
      <c r="M260" s="48">
        <f>41.57*C260/100</f>
        <v>62.354999999999997</v>
      </c>
      <c r="N260" s="48">
        <f>14.57*C260/100</f>
        <v>21.855</v>
      </c>
      <c r="O260" s="42">
        <f>0.43*C260/100</f>
        <v>0.64500000000000002</v>
      </c>
      <c r="P260" s="49">
        <f>0.02*C260/100</f>
        <v>0.03</v>
      </c>
      <c r="Q260" s="49">
        <v>0</v>
      </c>
      <c r="R260" s="233">
        <v>130307</v>
      </c>
      <c r="S260" s="233">
        <v>130308</v>
      </c>
    </row>
    <row r="261" spans="1:19" s="37" customFormat="1" ht="37.5" x14ac:dyDescent="0.2">
      <c r="A261" s="49">
        <v>6</v>
      </c>
      <c r="B261" s="47" t="s">
        <v>228</v>
      </c>
      <c r="C261" s="41">
        <v>200</v>
      </c>
      <c r="D261" s="42">
        <f>0.4*C261/100</f>
        <v>0.8</v>
      </c>
      <c r="E261" s="42">
        <f>0.06*C261/100</f>
        <v>0.12</v>
      </c>
      <c r="F261" s="42">
        <f>13.24*C261/100</f>
        <v>26.48</v>
      </c>
      <c r="G261" s="42">
        <f>46.13*C261/100</f>
        <v>92.26</v>
      </c>
      <c r="H261" s="42">
        <f>0.01*C261/100</f>
        <v>0.02</v>
      </c>
      <c r="I261" s="42">
        <f>0.28*C261/100</f>
        <v>0.56000000000000005</v>
      </c>
      <c r="J261" s="42">
        <f>0*C261/100</f>
        <v>0</v>
      </c>
      <c r="K261" s="42">
        <f>0.02*C261/100</f>
        <v>0.04</v>
      </c>
      <c r="L261" s="48">
        <f>17.8*C261/100</f>
        <v>35.6</v>
      </c>
      <c r="M261" s="48">
        <f>14.97*C261/100</f>
        <v>29.94</v>
      </c>
      <c r="N261" s="48">
        <f>11.17*C261/100</f>
        <v>22.34</v>
      </c>
      <c r="O261" s="42">
        <f>0.39*C261/100</f>
        <v>0.78</v>
      </c>
      <c r="P261" s="62">
        <f>0.02*C261/100</f>
        <v>0.04</v>
      </c>
      <c r="Q261" s="62">
        <v>2.3199999999999998</v>
      </c>
      <c r="R261" s="233">
        <v>160211</v>
      </c>
      <c r="S261" s="233"/>
    </row>
    <row r="262" spans="1:19" s="63" customFormat="1" x14ac:dyDescent="0.2">
      <c r="A262" s="49">
        <v>7</v>
      </c>
      <c r="B262" s="47" t="s">
        <v>160</v>
      </c>
      <c r="C262" s="41">
        <v>40</v>
      </c>
      <c r="D262" s="42">
        <f>7.76*C262/100</f>
        <v>3.1039999999999996</v>
      </c>
      <c r="E262" s="42">
        <f>2.65*C262/100</f>
        <v>1.06</v>
      </c>
      <c r="F262" s="42">
        <f>53.25*C262/100</f>
        <v>21.3</v>
      </c>
      <c r="G262" s="42">
        <f>273*C262/100</f>
        <v>109.2</v>
      </c>
      <c r="H262" s="42">
        <f>0.34*C262/100</f>
        <v>0.13600000000000001</v>
      </c>
      <c r="I262" s="42">
        <f>0*C262/100</f>
        <v>0</v>
      </c>
      <c r="J262" s="42">
        <v>0</v>
      </c>
      <c r="K262" s="42">
        <f>1.5*C262/100</f>
        <v>0.6</v>
      </c>
      <c r="L262" s="48">
        <f>148.1*C262/100</f>
        <v>59.24</v>
      </c>
      <c r="M262" s="48">
        <f>0*C262/100</f>
        <v>0</v>
      </c>
      <c r="N262" s="48">
        <f>16*C262/100</f>
        <v>6.4</v>
      </c>
      <c r="O262" s="42">
        <f>2.4*C262/100</f>
        <v>0.96</v>
      </c>
      <c r="P262" s="56">
        <f>0.2*C262/100</f>
        <v>0.08</v>
      </c>
      <c r="Q262" s="56">
        <f>1.5*C262/100</f>
        <v>0.6</v>
      </c>
      <c r="R262" s="233">
        <v>200102</v>
      </c>
      <c r="S262" s="233"/>
    </row>
    <row r="263" spans="1:19" s="63" customFormat="1" x14ac:dyDescent="0.2">
      <c r="A263" s="49">
        <v>8</v>
      </c>
      <c r="B263" s="47" t="s">
        <v>159</v>
      </c>
      <c r="C263" s="41">
        <v>20</v>
      </c>
      <c r="D263" s="42">
        <f>5.86*C263/100</f>
        <v>1.1719999999999999</v>
      </c>
      <c r="E263" s="42">
        <f>0.94*C263/100</f>
        <v>0.18799999999999997</v>
      </c>
      <c r="F263" s="42">
        <f>44.4*C263/100</f>
        <v>8.8800000000000008</v>
      </c>
      <c r="G263" s="42">
        <f>189*C263/100</f>
        <v>37.799999999999997</v>
      </c>
      <c r="H263" s="42">
        <f>0.4*C263/100</f>
        <v>0.08</v>
      </c>
      <c r="I263" s="42">
        <f>0.03*C263/100</f>
        <v>6.0000000000000001E-3</v>
      </c>
      <c r="J263" s="42">
        <v>0</v>
      </c>
      <c r="K263" s="42">
        <f>1.7*C263/100</f>
        <v>0.34</v>
      </c>
      <c r="L263" s="48">
        <f>25.4*C263/100</f>
        <v>5.08</v>
      </c>
      <c r="M263" s="48">
        <f>105.53*C263/100</f>
        <v>21.105999999999998</v>
      </c>
      <c r="N263" s="48">
        <f>36.5*C263/100</f>
        <v>7.3</v>
      </c>
      <c r="O263" s="42">
        <f>2.45*C263/100</f>
        <v>0.49</v>
      </c>
      <c r="P263" s="56">
        <f>0.2*C263/100</f>
        <v>0.04</v>
      </c>
      <c r="Q263" s="56">
        <f>10*C263/100</f>
        <v>2</v>
      </c>
      <c r="R263" s="233">
        <v>200103</v>
      </c>
      <c r="S263" s="233"/>
    </row>
    <row r="264" spans="1:19" s="37" customFormat="1" x14ac:dyDescent="0.2">
      <c r="A264" s="49"/>
      <c r="B264" s="132" t="s">
        <v>4</v>
      </c>
      <c r="C264" s="120"/>
      <c r="D264" s="168">
        <f t="shared" ref="D264:Q264" si="45">SUM(D256:D263)</f>
        <v>32.049500000000002</v>
      </c>
      <c r="E264" s="168">
        <f t="shared" si="45"/>
        <v>30.787499999999998</v>
      </c>
      <c r="F264" s="168">
        <f t="shared" si="45"/>
        <v>118.59799999999998</v>
      </c>
      <c r="G264" s="168">
        <f t="shared" si="45"/>
        <v>859.94399999999996</v>
      </c>
      <c r="H264" s="168">
        <f t="shared" si="45"/>
        <v>0.49500000000000005</v>
      </c>
      <c r="I264" s="168">
        <f t="shared" si="45"/>
        <v>57.658000000000001</v>
      </c>
      <c r="J264" s="168">
        <f t="shared" si="45"/>
        <v>6.0999999999999999E-2</v>
      </c>
      <c r="K264" s="168">
        <f t="shared" si="45"/>
        <v>4.552999999999999</v>
      </c>
      <c r="L264" s="167">
        <f t="shared" si="45"/>
        <v>253.19900000000001</v>
      </c>
      <c r="M264" s="167">
        <f t="shared" si="45"/>
        <v>406.54</v>
      </c>
      <c r="N264" s="167">
        <f t="shared" si="45"/>
        <v>150.59200000000001</v>
      </c>
      <c r="O264" s="168">
        <f t="shared" si="45"/>
        <v>5.22</v>
      </c>
      <c r="P264" s="125">
        <f t="shared" si="45"/>
        <v>0.51000000000000012</v>
      </c>
      <c r="Q264" s="49">
        <f t="shared" si="45"/>
        <v>15.78</v>
      </c>
      <c r="R264" s="233"/>
      <c r="S264" s="233"/>
    </row>
    <row r="265" spans="1:19" s="37" customFormat="1" ht="18" x14ac:dyDescent="0.2">
      <c r="A265" s="279" t="s">
        <v>35</v>
      </c>
      <c r="B265" s="280"/>
      <c r="C265" s="280"/>
      <c r="D265" s="280"/>
      <c r="E265" s="280"/>
      <c r="F265" s="280"/>
      <c r="G265" s="280"/>
      <c r="H265" s="280"/>
      <c r="I265" s="280"/>
      <c r="J265" s="280"/>
      <c r="K265" s="280"/>
      <c r="L265" s="280"/>
      <c r="M265" s="280"/>
      <c r="N265" s="280"/>
      <c r="O265" s="280"/>
      <c r="P265" s="280"/>
      <c r="Q265" s="280"/>
      <c r="R265" s="280"/>
      <c r="S265" s="280"/>
    </row>
    <row r="266" spans="1:19" s="52" customFormat="1" x14ac:dyDescent="0.2">
      <c r="A266" s="49">
        <v>1</v>
      </c>
      <c r="B266" s="47" t="s">
        <v>282</v>
      </c>
      <c r="C266" s="41">
        <v>200</v>
      </c>
      <c r="D266" s="94">
        <f>2.9*C266/100</f>
        <v>5.8</v>
      </c>
      <c r="E266" s="94">
        <f>3.2*C266/100</f>
        <v>6.4</v>
      </c>
      <c r="F266" s="94">
        <v>7.6</v>
      </c>
      <c r="G266" s="94">
        <f>56*C266/100</f>
        <v>112</v>
      </c>
      <c r="H266" s="42">
        <v>0.08</v>
      </c>
      <c r="I266" s="42">
        <v>0.32</v>
      </c>
      <c r="J266" s="42">
        <v>0.04</v>
      </c>
      <c r="K266" s="42">
        <f>0*C266/100</f>
        <v>0</v>
      </c>
      <c r="L266" s="48">
        <v>240</v>
      </c>
      <c r="M266" s="48">
        <v>196</v>
      </c>
      <c r="N266" s="48">
        <f>15*C266/100</f>
        <v>30</v>
      </c>
      <c r="O266" s="42">
        <v>0.2</v>
      </c>
      <c r="P266" s="49">
        <v>0.32</v>
      </c>
      <c r="Q266" s="49">
        <v>18</v>
      </c>
      <c r="R266" s="233"/>
      <c r="S266" s="233"/>
    </row>
    <row r="267" spans="1:19" s="63" customFormat="1" x14ac:dyDescent="0.2">
      <c r="A267" s="49">
        <v>2</v>
      </c>
      <c r="B267" s="47" t="s">
        <v>186</v>
      </c>
      <c r="C267" s="41">
        <v>50</v>
      </c>
      <c r="D267" s="184">
        <f>5.7*C267/100</f>
        <v>2.85</v>
      </c>
      <c r="E267" s="184">
        <f>20.3*C267/100</f>
        <v>10.15</v>
      </c>
      <c r="F267" s="184">
        <f>57.3*C267/100</f>
        <v>28.65</v>
      </c>
      <c r="G267" s="184">
        <f>430.7*C267/100</f>
        <v>215.35</v>
      </c>
      <c r="H267" s="42">
        <f>0.12*C267/100</f>
        <v>0.06</v>
      </c>
      <c r="I267" s="42">
        <f>0*C267/100</f>
        <v>0</v>
      </c>
      <c r="J267" s="42">
        <f>0.13*C267/100</f>
        <v>6.5000000000000002E-2</v>
      </c>
      <c r="K267" s="42">
        <f>5.55*C267/100</f>
        <v>2.7749999999999999</v>
      </c>
      <c r="L267" s="48">
        <f>44.66*C267/100</f>
        <v>22.33</v>
      </c>
      <c r="M267" s="48">
        <f>148.03*C267/100</f>
        <v>74.015000000000001</v>
      </c>
      <c r="N267" s="48">
        <f>21.6*C267/100</f>
        <v>10.8</v>
      </c>
      <c r="O267" s="42">
        <f>1.35*C267/100</f>
        <v>0.67500000000000004</v>
      </c>
      <c r="P267" s="49">
        <v>0.03</v>
      </c>
      <c r="Q267" s="49">
        <v>0.83</v>
      </c>
      <c r="R267" s="233"/>
      <c r="S267" s="233">
        <v>170603</v>
      </c>
    </row>
    <row r="268" spans="1:19" s="37" customFormat="1" x14ac:dyDescent="0.2">
      <c r="A268" s="49"/>
      <c r="B268" s="132" t="s">
        <v>4</v>
      </c>
      <c r="C268" s="120"/>
      <c r="D268" s="169">
        <f t="shared" ref="D268:Q268" si="46">SUM(D266:D267)</f>
        <v>8.65</v>
      </c>
      <c r="E268" s="169">
        <f t="shared" si="46"/>
        <v>16.55</v>
      </c>
      <c r="F268" s="169">
        <f t="shared" si="46"/>
        <v>36.25</v>
      </c>
      <c r="G268" s="169">
        <f t="shared" si="46"/>
        <v>327.35000000000002</v>
      </c>
      <c r="H268" s="169">
        <f t="shared" si="46"/>
        <v>0.14000000000000001</v>
      </c>
      <c r="I268" s="169">
        <f t="shared" si="46"/>
        <v>0.32</v>
      </c>
      <c r="J268" s="169">
        <f t="shared" si="46"/>
        <v>0.10500000000000001</v>
      </c>
      <c r="K268" s="169">
        <f t="shared" si="46"/>
        <v>2.7749999999999999</v>
      </c>
      <c r="L268" s="152">
        <f t="shared" si="46"/>
        <v>262.33</v>
      </c>
      <c r="M268" s="152">
        <f t="shared" si="46"/>
        <v>270.01499999999999</v>
      </c>
      <c r="N268" s="152">
        <f t="shared" si="46"/>
        <v>40.799999999999997</v>
      </c>
      <c r="O268" s="169">
        <f t="shared" si="46"/>
        <v>0.875</v>
      </c>
      <c r="P268" s="49">
        <f t="shared" si="46"/>
        <v>0.35</v>
      </c>
      <c r="Q268" s="49">
        <f t="shared" si="46"/>
        <v>18.829999999999998</v>
      </c>
      <c r="R268" s="233"/>
      <c r="S268" s="233"/>
    </row>
    <row r="269" spans="1:19" s="37" customFormat="1" x14ac:dyDescent="0.2">
      <c r="A269" s="49"/>
      <c r="B269" s="132" t="s">
        <v>7</v>
      </c>
      <c r="C269" s="120"/>
      <c r="D269" s="168">
        <f t="shared" ref="D269:Q269" si="47">D254+D264+D268</f>
        <v>56.451500000000003</v>
      </c>
      <c r="E269" s="168">
        <f t="shared" si="47"/>
        <v>60.9375</v>
      </c>
      <c r="F269" s="168">
        <f t="shared" si="47"/>
        <v>247.47799999999998</v>
      </c>
      <c r="G269" s="168">
        <f t="shared" si="47"/>
        <v>1748.3939999999998</v>
      </c>
      <c r="H269" s="168">
        <f t="shared" si="47"/>
        <v>1.1120000000000001</v>
      </c>
      <c r="I269" s="168">
        <f t="shared" si="47"/>
        <v>91.537999999999997</v>
      </c>
      <c r="J269" s="168">
        <f t="shared" si="47"/>
        <v>0.24200000000000002</v>
      </c>
      <c r="K269" s="168">
        <f t="shared" si="47"/>
        <v>8.6979999999999986</v>
      </c>
      <c r="L269" s="167">
        <f t="shared" si="47"/>
        <v>786.99900000000002</v>
      </c>
      <c r="M269" s="167">
        <f t="shared" si="47"/>
        <v>971.54499999999996</v>
      </c>
      <c r="N269" s="167">
        <f t="shared" si="47"/>
        <v>369.36700000000002</v>
      </c>
      <c r="O269" s="168">
        <f t="shared" si="47"/>
        <v>9.132200000000001</v>
      </c>
      <c r="P269" s="168">
        <f t="shared" si="47"/>
        <v>1.165</v>
      </c>
      <c r="Q269" s="168">
        <f t="shared" si="47"/>
        <v>35.9</v>
      </c>
      <c r="R269" s="233"/>
      <c r="S269" s="233"/>
    </row>
    <row r="270" spans="1:19" s="37" customFormat="1" x14ac:dyDescent="0.2">
      <c r="A270" s="279" t="s">
        <v>51</v>
      </c>
      <c r="B270" s="279"/>
      <c r="C270" s="279"/>
      <c r="D270" s="279"/>
      <c r="E270" s="279"/>
      <c r="F270" s="279"/>
      <c r="G270" s="280"/>
      <c r="H270" s="280"/>
      <c r="I270" s="280"/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</row>
    <row r="271" spans="1:19" s="37" customFormat="1" ht="18" x14ac:dyDescent="0.2">
      <c r="A271" s="279" t="s">
        <v>3</v>
      </c>
      <c r="B271" s="280"/>
      <c r="C271" s="280"/>
      <c r="D271" s="280"/>
      <c r="E271" s="280"/>
      <c r="F271" s="280"/>
      <c r="G271" s="280"/>
      <c r="H271" s="280"/>
      <c r="I271" s="280"/>
      <c r="J271" s="280"/>
      <c r="K271" s="280"/>
      <c r="L271" s="280"/>
      <c r="M271" s="280"/>
      <c r="N271" s="280"/>
      <c r="O271" s="280"/>
      <c r="P271" s="280"/>
      <c r="Q271" s="280"/>
      <c r="R271" s="280"/>
      <c r="S271" s="280"/>
    </row>
    <row r="272" spans="1:19" s="63" customFormat="1" ht="37.5" x14ac:dyDescent="0.2">
      <c r="A272" s="49">
        <v>1</v>
      </c>
      <c r="B272" s="47" t="s">
        <v>255</v>
      </c>
      <c r="C272" s="41">
        <v>200</v>
      </c>
      <c r="D272" s="42">
        <f>3.64*C272/100</f>
        <v>7.28</v>
      </c>
      <c r="E272" s="42">
        <f>3.38*C272/100</f>
        <v>6.76</v>
      </c>
      <c r="F272" s="42">
        <f>18.46*C272/100</f>
        <v>36.92</v>
      </c>
      <c r="G272" s="42">
        <f>112.8*C272/100</f>
        <v>225.6</v>
      </c>
      <c r="H272" s="42">
        <f>0.4*C272/100</f>
        <v>0.8</v>
      </c>
      <c r="I272" s="42">
        <f>8*C272/100</f>
        <v>16</v>
      </c>
      <c r="J272" s="42">
        <f>0*C272/100</f>
        <v>0</v>
      </c>
      <c r="K272" s="42">
        <f>2*C272/100</f>
        <v>4</v>
      </c>
      <c r="L272" s="48">
        <f>20*C272/100</f>
        <v>40</v>
      </c>
      <c r="M272" s="48">
        <f>32*C272/100</f>
        <v>64</v>
      </c>
      <c r="N272" s="48">
        <f>0*C272/100</f>
        <v>0</v>
      </c>
      <c r="O272" s="42">
        <f>2.24*C272/100</f>
        <v>4.4800000000000004</v>
      </c>
      <c r="P272" s="49">
        <f>0.3*C272/100</f>
        <v>0.6</v>
      </c>
      <c r="Q272" s="49">
        <f>4.5*C272/100</f>
        <v>9</v>
      </c>
      <c r="R272" s="233">
        <v>120215</v>
      </c>
      <c r="S272" s="233"/>
    </row>
    <row r="273" spans="1:19" s="63" customFormat="1" x14ac:dyDescent="0.2">
      <c r="A273" s="49">
        <v>2</v>
      </c>
      <c r="B273" s="47" t="s">
        <v>31</v>
      </c>
      <c r="C273" s="59">
        <v>200</v>
      </c>
      <c r="D273" s="60">
        <v>0</v>
      </c>
      <c r="E273" s="60">
        <v>0</v>
      </c>
      <c r="F273" s="60">
        <f>4.99*C273/100</f>
        <v>9.98</v>
      </c>
      <c r="G273" s="42">
        <f>19.95*C273/100</f>
        <v>39.9</v>
      </c>
      <c r="H273" s="42">
        <v>0</v>
      </c>
      <c r="I273" s="42">
        <v>0</v>
      </c>
      <c r="J273" s="42">
        <v>0</v>
      </c>
      <c r="K273" s="42">
        <v>0</v>
      </c>
      <c r="L273" s="48">
        <f>8.15*C273/100</f>
        <v>16.3</v>
      </c>
      <c r="M273" s="48">
        <f>0.02*C273/100</f>
        <v>0.04</v>
      </c>
      <c r="N273" s="48">
        <f>1.79*C273/100</f>
        <v>3.58</v>
      </c>
      <c r="O273" s="42">
        <f>0.02*C273/100</f>
        <v>0.04</v>
      </c>
      <c r="P273" s="49">
        <f>0.01*C273/100</f>
        <v>0.02</v>
      </c>
      <c r="Q273" s="49">
        <v>0.48</v>
      </c>
      <c r="R273" s="233">
        <v>160105</v>
      </c>
      <c r="S273" s="233"/>
    </row>
    <row r="274" spans="1:19" s="63" customFormat="1" x14ac:dyDescent="0.2">
      <c r="A274" s="49">
        <v>3</v>
      </c>
      <c r="B274" s="47" t="s">
        <v>259</v>
      </c>
      <c r="C274" s="41">
        <v>50</v>
      </c>
      <c r="D274" s="94">
        <f>11.4*C274/100</f>
        <v>5.7</v>
      </c>
      <c r="E274" s="94">
        <f>6.2*C274/100</f>
        <v>3.1</v>
      </c>
      <c r="F274" s="94">
        <f>54.8*C274/100</f>
        <v>27.4</v>
      </c>
      <c r="G274" s="94">
        <f>321*C274/100</f>
        <v>160.5</v>
      </c>
      <c r="H274" s="42">
        <f>0.17*C274/100</f>
        <v>8.5000000000000006E-2</v>
      </c>
      <c r="I274" s="42">
        <f>3.2*C274/100</f>
        <v>1.6</v>
      </c>
      <c r="J274" s="42">
        <f>0.02*C274/100</f>
        <v>0.01</v>
      </c>
      <c r="K274" s="42">
        <f>1*C274/100</f>
        <v>0.5</v>
      </c>
      <c r="L274" s="48">
        <f>12.46*C274/100</f>
        <v>6.23</v>
      </c>
      <c r="M274" s="48">
        <f>55.81*C274/100</f>
        <v>27.905000000000001</v>
      </c>
      <c r="N274" s="48">
        <f>10.75*C274/100</f>
        <v>5.375</v>
      </c>
      <c r="O274" s="42">
        <f>0.82*C274/100</f>
        <v>0.41</v>
      </c>
      <c r="P274" s="49">
        <f>0.04*C274/100</f>
        <v>0.02</v>
      </c>
      <c r="Q274" s="49">
        <v>0.87</v>
      </c>
      <c r="R274" s="233">
        <v>190102</v>
      </c>
      <c r="S274" s="233">
        <v>190103</v>
      </c>
    </row>
    <row r="275" spans="1:19" s="63" customFormat="1" x14ac:dyDescent="0.2">
      <c r="A275" s="49">
        <v>4</v>
      </c>
      <c r="B275" s="47" t="s">
        <v>268</v>
      </c>
      <c r="C275" s="41">
        <v>150</v>
      </c>
      <c r="D275" s="42">
        <f>5.5*C275/100</f>
        <v>8.25</v>
      </c>
      <c r="E275" s="42">
        <v>0</v>
      </c>
      <c r="F275" s="42">
        <f>20.56*C275/100</f>
        <v>30.84</v>
      </c>
      <c r="G275" s="42">
        <f>104*C275/100</f>
        <v>156</v>
      </c>
      <c r="H275" s="42">
        <v>0</v>
      </c>
      <c r="I275" s="42">
        <f>0.8*C275/100</f>
        <v>1.2</v>
      </c>
      <c r="J275" s="42">
        <v>0</v>
      </c>
      <c r="K275" s="42">
        <v>0</v>
      </c>
      <c r="L275" s="48">
        <f>28.96*C275/100</f>
        <v>43.44</v>
      </c>
      <c r="M275" s="48">
        <f>9.26*C275/100</f>
        <v>13.89</v>
      </c>
      <c r="N275" s="48">
        <f>3.51*C275/100</f>
        <v>5.2649999999999997</v>
      </c>
      <c r="O275" s="42">
        <f>0.1*C275/100</f>
        <v>0.15</v>
      </c>
      <c r="P275" s="56">
        <v>0</v>
      </c>
      <c r="Q275" s="56">
        <v>0</v>
      </c>
      <c r="R275" s="233">
        <v>220101</v>
      </c>
      <c r="S275" s="233">
        <v>220102</v>
      </c>
    </row>
    <row r="276" spans="1:19" s="37" customFormat="1" x14ac:dyDescent="0.2">
      <c r="A276" s="49"/>
      <c r="B276" s="132" t="s">
        <v>4</v>
      </c>
      <c r="C276" s="120"/>
      <c r="D276" s="169">
        <f t="shared" ref="D276:Q276" si="48">SUM(D272:D275)</f>
        <v>21.23</v>
      </c>
      <c r="E276" s="169">
        <f t="shared" si="48"/>
        <v>9.86</v>
      </c>
      <c r="F276" s="169">
        <f t="shared" si="48"/>
        <v>105.14000000000001</v>
      </c>
      <c r="G276" s="169">
        <f t="shared" si="48"/>
        <v>582</v>
      </c>
      <c r="H276" s="169">
        <f t="shared" si="48"/>
        <v>0.88500000000000001</v>
      </c>
      <c r="I276" s="169">
        <f t="shared" si="48"/>
        <v>18.8</v>
      </c>
      <c r="J276" s="169">
        <f t="shared" si="48"/>
        <v>0.01</v>
      </c>
      <c r="K276" s="169">
        <f t="shared" si="48"/>
        <v>4.5</v>
      </c>
      <c r="L276" s="152">
        <f t="shared" si="48"/>
        <v>105.97</v>
      </c>
      <c r="M276" s="152">
        <f t="shared" si="48"/>
        <v>105.83500000000001</v>
      </c>
      <c r="N276" s="152">
        <f t="shared" si="48"/>
        <v>14.219999999999999</v>
      </c>
      <c r="O276" s="169">
        <f t="shared" si="48"/>
        <v>5.080000000000001</v>
      </c>
      <c r="P276" s="125">
        <f t="shared" si="48"/>
        <v>0.64</v>
      </c>
      <c r="Q276" s="125">
        <f t="shared" si="48"/>
        <v>10.35</v>
      </c>
      <c r="R276" s="233"/>
      <c r="S276" s="233"/>
    </row>
    <row r="277" spans="1:19" s="37" customFormat="1" ht="18" x14ac:dyDescent="0.2">
      <c r="A277" s="279" t="s">
        <v>5</v>
      </c>
      <c r="B277" s="280"/>
      <c r="C277" s="280"/>
      <c r="D277" s="280"/>
      <c r="E277" s="280"/>
      <c r="F277" s="280"/>
      <c r="G277" s="280"/>
      <c r="H277" s="280"/>
      <c r="I277" s="280"/>
      <c r="J277" s="280"/>
      <c r="K277" s="280"/>
      <c r="L277" s="280"/>
      <c r="M277" s="280"/>
      <c r="N277" s="280"/>
      <c r="O277" s="280"/>
      <c r="P277" s="280"/>
      <c r="Q277" s="280"/>
      <c r="R277" s="280"/>
      <c r="S277" s="280"/>
    </row>
    <row r="278" spans="1:19" s="63" customFormat="1" ht="37.5" x14ac:dyDescent="0.2">
      <c r="A278" s="49">
        <v>1</v>
      </c>
      <c r="B278" s="47" t="s">
        <v>144</v>
      </c>
      <c r="C278" s="41">
        <v>60</v>
      </c>
      <c r="D278" s="42">
        <f>1.62*C278/100</f>
        <v>0.97199999999999998</v>
      </c>
      <c r="E278" s="42">
        <f>10.08*C278/100</f>
        <v>6.0479999999999992</v>
      </c>
      <c r="F278" s="42">
        <f>9.55*C278/100</f>
        <v>5.73</v>
      </c>
      <c r="G278" s="42">
        <f>136.44*C278/100</f>
        <v>81.86399999999999</v>
      </c>
      <c r="H278" s="42">
        <f>0.03*C278/100</f>
        <v>1.7999999999999999E-2</v>
      </c>
      <c r="I278" s="42">
        <f>26.7*C278/100</f>
        <v>16.02</v>
      </c>
      <c r="J278" s="42">
        <v>0</v>
      </c>
      <c r="K278" s="42">
        <f>1.88*C278/100</f>
        <v>1.1279999999999999</v>
      </c>
      <c r="L278" s="48">
        <f>45.72*C278/100</f>
        <v>27.431999999999999</v>
      </c>
      <c r="M278" s="48">
        <f>31.46*C278/100</f>
        <v>18.876000000000001</v>
      </c>
      <c r="N278" s="48">
        <f>17.33*C278/100</f>
        <v>10.398</v>
      </c>
      <c r="O278" s="42">
        <f>0.61*C278/100</f>
        <v>0.36599999999999999</v>
      </c>
      <c r="P278" s="49">
        <f>0.04*C278/100</f>
        <v>2.4E-2</v>
      </c>
      <c r="Q278" s="49">
        <v>1.47</v>
      </c>
      <c r="R278" s="233">
        <v>100201</v>
      </c>
      <c r="S278" s="233"/>
    </row>
    <row r="279" spans="1:19" s="63" customFormat="1" x14ac:dyDescent="0.2">
      <c r="A279" s="49">
        <v>2</v>
      </c>
      <c r="B279" s="47" t="s">
        <v>171</v>
      </c>
      <c r="C279" s="41">
        <v>250</v>
      </c>
      <c r="D279" s="42">
        <f>1.2*C279/100</f>
        <v>3</v>
      </c>
      <c r="E279" s="42">
        <f>2.8*C279/100</f>
        <v>7</v>
      </c>
      <c r="F279" s="42">
        <f>1.3*C279/100</f>
        <v>3.25</v>
      </c>
      <c r="G279" s="42">
        <f>35.2*C279/100</f>
        <v>88</v>
      </c>
      <c r="H279" s="42">
        <f>0.02*C279/100</f>
        <v>0.05</v>
      </c>
      <c r="I279" s="42">
        <f>9.19*C279/100</f>
        <v>22.975000000000001</v>
      </c>
      <c r="J279" s="42">
        <v>0.08</v>
      </c>
      <c r="K279" s="42">
        <f>0.71*C279/100</f>
        <v>1.7749999999999999</v>
      </c>
      <c r="L279" s="48">
        <f>12.56*C279/100</f>
        <v>31.4</v>
      </c>
      <c r="M279" s="48">
        <f>13.73*C279/100</f>
        <v>34.325000000000003</v>
      </c>
      <c r="N279" s="48">
        <f>6.59*C279/100</f>
        <v>16.475000000000001</v>
      </c>
      <c r="O279" s="42">
        <f>0.25*C279/100</f>
        <v>0.625</v>
      </c>
      <c r="P279" s="49">
        <v>0.03</v>
      </c>
      <c r="Q279" s="49">
        <v>2.9</v>
      </c>
      <c r="R279" s="233">
        <v>110205</v>
      </c>
      <c r="S279" s="233">
        <v>110206</v>
      </c>
    </row>
    <row r="280" spans="1:19" s="63" customFormat="1" x14ac:dyDescent="0.2">
      <c r="A280" s="49">
        <v>3</v>
      </c>
      <c r="B280" s="47" t="s">
        <v>115</v>
      </c>
      <c r="C280" s="41">
        <v>80</v>
      </c>
      <c r="D280" s="42">
        <f>20.6*C280/100</f>
        <v>16.48</v>
      </c>
      <c r="E280" s="42">
        <f>4.8*C280/100</f>
        <v>3.84</v>
      </c>
      <c r="F280" s="42">
        <f>8.5*C280/100</f>
        <v>6.8</v>
      </c>
      <c r="G280" s="42">
        <f>159.6*C280/100</f>
        <v>127.68</v>
      </c>
      <c r="H280" s="42">
        <f>0.18*C280/100</f>
        <v>0.14399999999999999</v>
      </c>
      <c r="I280" s="42">
        <f>7.71*C280/100</f>
        <v>6.1679999999999993</v>
      </c>
      <c r="J280" s="42">
        <f>5.01*C280/100</f>
        <v>4.0079999999999991</v>
      </c>
      <c r="K280" s="42">
        <f>0.89*C280/100</f>
        <v>0.71200000000000008</v>
      </c>
      <c r="L280" s="48">
        <f>32.18*C280/100</f>
        <v>25.744</v>
      </c>
      <c r="M280" s="48">
        <f>244.98*C280/100</f>
        <v>195.98399999999998</v>
      </c>
      <c r="N280" s="48">
        <f>16.68*C280/100</f>
        <v>13.344000000000001</v>
      </c>
      <c r="O280" s="42">
        <f>4.95*C280/100</f>
        <v>3.96</v>
      </c>
      <c r="P280" s="49">
        <f>1.4*C280/100</f>
        <v>1.1200000000000001</v>
      </c>
      <c r="Q280" s="49">
        <v>4.54</v>
      </c>
      <c r="R280" s="233">
        <v>120515</v>
      </c>
      <c r="S280" s="231">
        <v>120516</v>
      </c>
    </row>
    <row r="281" spans="1:19" s="63" customFormat="1" x14ac:dyDescent="0.2">
      <c r="A281" s="49">
        <v>4</v>
      </c>
      <c r="B281" s="47" t="s">
        <v>116</v>
      </c>
      <c r="C281" s="41">
        <v>30</v>
      </c>
      <c r="D281" s="60">
        <f>1.4*C281/100</f>
        <v>0.42</v>
      </c>
      <c r="E281" s="60">
        <f>5.2*C281/100</f>
        <v>1.56</v>
      </c>
      <c r="F281" s="60">
        <f>7.1*C281/100</f>
        <v>2.13</v>
      </c>
      <c r="G281" s="60">
        <f>80.8*C281/100</f>
        <v>24.24</v>
      </c>
      <c r="H281" s="42">
        <f>0.04*C281/100</f>
        <v>1.2E-2</v>
      </c>
      <c r="I281" s="42">
        <f>0.4*C281/100</f>
        <v>0.12</v>
      </c>
      <c r="J281" s="42">
        <f>0.12*C281/100</f>
        <v>3.5999999999999997E-2</v>
      </c>
      <c r="K281" s="42">
        <f>0.44*C281/100</f>
        <v>0.13200000000000001</v>
      </c>
      <c r="L281" s="48">
        <f>89.8*C281/100</f>
        <v>26.94</v>
      </c>
      <c r="M281" s="48">
        <f>67.7*C281/100</f>
        <v>20.309999999999999</v>
      </c>
      <c r="N281" s="48">
        <f>11.2*C281/100</f>
        <v>3.36</v>
      </c>
      <c r="O281" s="42">
        <f>0.31*C281/100</f>
        <v>9.3000000000000013E-2</v>
      </c>
      <c r="P281" s="49">
        <f>0.11*C281/100</f>
        <v>3.3000000000000002E-2</v>
      </c>
      <c r="Q281" s="49">
        <v>1.35</v>
      </c>
      <c r="R281" s="233">
        <v>140106</v>
      </c>
      <c r="S281" s="233">
        <v>140107</v>
      </c>
    </row>
    <row r="282" spans="1:19" s="63" customFormat="1" x14ac:dyDescent="0.2">
      <c r="A282" s="49">
        <v>5</v>
      </c>
      <c r="B282" s="47" t="s">
        <v>113</v>
      </c>
      <c r="C282" s="41">
        <v>150</v>
      </c>
      <c r="D282" s="42">
        <f>3.22*C282/100</f>
        <v>4.830000000000001</v>
      </c>
      <c r="E282" s="42">
        <f>4.825*C282/100</f>
        <v>7.2374999999999998</v>
      </c>
      <c r="F282" s="42">
        <f>21.9*C282/100</f>
        <v>32.85</v>
      </c>
      <c r="G282" s="42">
        <f>140.5*C282/100</f>
        <v>210.75</v>
      </c>
      <c r="H282" s="42">
        <f>0.14*C282/100</f>
        <v>0.21000000000000005</v>
      </c>
      <c r="I282" s="42">
        <f>0*C282/100</f>
        <v>0</v>
      </c>
      <c r="J282" s="42">
        <f>0.02*C282/100</f>
        <v>0.03</v>
      </c>
      <c r="K282" s="42">
        <f>0.05*C282/100</f>
        <v>7.4999999999999997E-2</v>
      </c>
      <c r="L282" s="48">
        <f>12.38*C282/100</f>
        <v>18.570000000000004</v>
      </c>
      <c r="M282" s="48">
        <f>132.35*C282/100</f>
        <v>198.52500000000001</v>
      </c>
      <c r="N282" s="48">
        <f>88.86*C282/100</f>
        <v>133.29</v>
      </c>
      <c r="O282" s="42">
        <f>2.97*C282/100</f>
        <v>4.455000000000001</v>
      </c>
      <c r="P282" s="49">
        <f>0.075*C282/100</f>
        <v>0.1125</v>
      </c>
      <c r="Q282" s="49">
        <f>0.34*C282/100</f>
        <v>0.51000000000000012</v>
      </c>
      <c r="R282" s="233">
        <v>130309</v>
      </c>
      <c r="S282" s="233">
        <v>130310</v>
      </c>
    </row>
    <row r="283" spans="1:19" s="37" customFormat="1" x14ac:dyDescent="0.2">
      <c r="A283" s="49">
        <v>6</v>
      </c>
      <c r="B283" s="47" t="s">
        <v>131</v>
      </c>
      <c r="C283" s="41">
        <v>200</v>
      </c>
      <c r="D283" s="42">
        <f>0.62*C283/100</f>
        <v>1.24</v>
      </c>
      <c r="E283" s="42">
        <f>0.04*C283/100</f>
        <v>0.08</v>
      </c>
      <c r="F283" s="42">
        <f>12.06*C283/100</f>
        <v>24.12</v>
      </c>
      <c r="G283" s="42">
        <f>41.81*C283/100</f>
        <v>83.62</v>
      </c>
      <c r="H283" s="42">
        <f>0.01*C283/100</f>
        <v>0.02</v>
      </c>
      <c r="I283" s="42">
        <f>0.48*C283/100</f>
        <v>0.96</v>
      </c>
      <c r="J283" s="42">
        <f>0*C283/100</f>
        <v>0</v>
      </c>
      <c r="K283" s="42">
        <v>0</v>
      </c>
      <c r="L283" s="48">
        <f>23.8*C283/100</f>
        <v>47.6</v>
      </c>
      <c r="M283" s="48">
        <f>17.52*C283/100</f>
        <v>35.04</v>
      </c>
      <c r="N283" s="48">
        <f>13.6*C283/100</f>
        <v>27.2</v>
      </c>
      <c r="O283" s="42">
        <f>0.39*C283/100</f>
        <v>0.78</v>
      </c>
      <c r="P283" s="62">
        <f>0.02*C283/100</f>
        <v>0.04</v>
      </c>
      <c r="Q283" s="62">
        <v>2.3199999999999998</v>
      </c>
      <c r="R283" s="233">
        <v>160210</v>
      </c>
      <c r="S283" s="233"/>
    </row>
    <row r="284" spans="1:19" s="63" customFormat="1" x14ac:dyDescent="0.2">
      <c r="A284" s="49">
        <v>7</v>
      </c>
      <c r="B284" s="47" t="s">
        <v>160</v>
      </c>
      <c r="C284" s="41">
        <v>40</v>
      </c>
      <c r="D284" s="42">
        <f>7.76*C284/100</f>
        <v>3.1039999999999996</v>
      </c>
      <c r="E284" s="42">
        <f>2.65*C284/100</f>
        <v>1.06</v>
      </c>
      <c r="F284" s="42">
        <f>53.25*C284/100</f>
        <v>21.3</v>
      </c>
      <c r="G284" s="42">
        <f>273*C284/100</f>
        <v>109.2</v>
      </c>
      <c r="H284" s="42">
        <f>0.34*C284/100</f>
        <v>0.13600000000000001</v>
      </c>
      <c r="I284" s="42">
        <f>0*C284/100</f>
        <v>0</v>
      </c>
      <c r="J284" s="42">
        <v>0</v>
      </c>
      <c r="K284" s="42">
        <f>1.5*C284/100</f>
        <v>0.6</v>
      </c>
      <c r="L284" s="48">
        <f>148.1*C284/100</f>
        <v>59.24</v>
      </c>
      <c r="M284" s="48">
        <f>0*C284/100</f>
        <v>0</v>
      </c>
      <c r="N284" s="48">
        <f>16*C284/100</f>
        <v>6.4</v>
      </c>
      <c r="O284" s="42">
        <f>2.4*C284/100</f>
        <v>0.96</v>
      </c>
      <c r="P284" s="56">
        <f>0.2*C284/100</f>
        <v>0.08</v>
      </c>
      <c r="Q284" s="56">
        <f>1.5*C284/100</f>
        <v>0.6</v>
      </c>
      <c r="R284" s="233">
        <v>200102</v>
      </c>
      <c r="S284" s="233"/>
    </row>
    <row r="285" spans="1:19" s="63" customFormat="1" x14ac:dyDescent="0.2">
      <c r="A285" s="49">
        <v>8</v>
      </c>
      <c r="B285" s="47" t="s">
        <v>159</v>
      </c>
      <c r="C285" s="41">
        <v>20</v>
      </c>
      <c r="D285" s="42">
        <f>5.86*C285/100</f>
        <v>1.1719999999999999</v>
      </c>
      <c r="E285" s="42">
        <f>0.94*C285/100</f>
        <v>0.18799999999999997</v>
      </c>
      <c r="F285" s="42">
        <f>44.4*C285/100</f>
        <v>8.8800000000000008</v>
      </c>
      <c r="G285" s="42">
        <f>189*C285/100</f>
        <v>37.799999999999997</v>
      </c>
      <c r="H285" s="42">
        <f>0.4*C285/100</f>
        <v>0.08</v>
      </c>
      <c r="I285" s="42">
        <f>0.03*C285/100</f>
        <v>6.0000000000000001E-3</v>
      </c>
      <c r="J285" s="42">
        <v>0</v>
      </c>
      <c r="K285" s="42">
        <f>1.7*C285/100</f>
        <v>0.34</v>
      </c>
      <c r="L285" s="48">
        <f>25.4*C285/100</f>
        <v>5.08</v>
      </c>
      <c r="M285" s="48">
        <f>105.53*C285/100</f>
        <v>21.105999999999998</v>
      </c>
      <c r="N285" s="48">
        <f>36.5*C285/100</f>
        <v>7.3</v>
      </c>
      <c r="O285" s="42">
        <f>2.45*C285/100</f>
        <v>0.49</v>
      </c>
      <c r="P285" s="56">
        <f>0.2*C285/100</f>
        <v>0.04</v>
      </c>
      <c r="Q285" s="56">
        <f>10*C285/100</f>
        <v>2</v>
      </c>
      <c r="R285" s="233">
        <v>200103</v>
      </c>
      <c r="S285" s="233"/>
    </row>
    <row r="286" spans="1:19" s="37" customFormat="1" x14ac:dyDescent="0.2">
      <c r="A286" s="49"/>
      <c r="B286" s="132" t="s">
        <v>4</v>
      </c>
      <c r="C286" s="120"/>
      <c r="D286" s="168">
        <f t="shared" ref="D286:Q286" si="49">SUM(D278:D285)</f>
        <v>31.218000000000004</v>
      </c>
      <c r="E286" s="168">
        <f t="shared" si="49"/>
        <v>27.013499999999993</v>
      </c>
      <c r="F286" s="168">
        <f t="shared" si="49"/>
        <v>105.06</v>
      </c>
      <c r="G286" s="168">
        <f t="shared" si="49"/>
        <v>763.154</v>
      </c>
      <c r="H286" s="168">
        <f t="shared" si="49"/>
        <v>0.67</v>
      </c>
      <c r="I286" s="168">
        <f t="shared" si="49"/>
        <v>46.249000000000002</v>
      </c>
      <c r="J286" s="168">
        <f t="shared" si="49"/>
        <v>4.153999999999999</v>
      </c>
      <c r="K286" s="168">
        <f t="shared" si="49"/>
        <v>4.7619999999999996</v>
      </c>
      <c r="L286" s="167">
        <f t="shared" si="49"/>
        <v>242.006</v>
      </c>
      <c r="M286" s="167">
        <f t="shared" si="49"/>
        <v>524.16600000000005</v>
      </c>
      <c r="N286" s="167">
        <f t="shared" si="49"/>
        <v>217.767</v>
      </c>
      <c r="O286" s="168">
        <f t="shared" si="49"/>
        <v>11.729000000000001</v>
      </c>
      <c r="P286" s="125">
        <f t="shared" si="49"/>
        <v>1.4795000000000003</v>
      </c>
      <c r="Q286" s="125">
        <f t="shared" si="49"/>
        <v>15.69</v>
      </c>
      <c r="R286" s="233"/>
      <c r="S286" s="233"/>
    </row>
    <row r="287" spans="1:19" s="37" customFormat="1" ht="18" x14ac:dyDescent="0.2">
      <c r="A287" s="279" t="s">
        <v>35</v>
      </c>
      <c r="B287" s="280"/>
      <c r="C287" s="280"/>
      <c r="D287" s="280"/>
      <c r="E287" s="280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</row>
    <row r="288" spans="1:19" s="63" customFormat="1" ht="31.5" x14ac:dyDescent="0.2">
      <c r="A288" s="49">
        <v>1</v>
      </c>
      <c r="B288" s="47" t="s">
        <v>143</v>
      </c>
      <c r="C288" s="41">
        <v>50</v>
      </c>
      <c r="D288" s="60">
        <f>8*C288/100</f>
        <v>4</v>
      </c>
      <c r="E288" s="60">
        <f>5.5*C288/100</f>
        <v>2.75</v>
      </c>
      <c r="F288" s="60">
        <f>54.6*C288/100</f>
        <v>27.3</v>
      </c>
      <c r="G288" s="60">
        <f>299.9*C288/100</f>
        <v>149.94999999999999</v>
      </c>
      <c r="H288" s="42">
        <f>0.09*C288/100</f>
        <v>4.4999999999999998E-2</v>
      </c>
      <c r="I288" s="42">
        <f>0.62*C288/100</f>
        <v>0.31</v>
      </c>
      <c r="J288" s="42">
        <f>0.01*C288/100</f>
        <v>5.0000000000000001E-3</v>
      </c>
      <c r="K288" s="42">
        <f>2.49*C288/100</f>
        <v>1.2450000000000001</v>
      </c>
      <c r="L288" s="48">
        <f>11.38*C288/100</f>
        <v>5.69</v>
      </c>
      <c r="M288" s="48">
        <f>37.2*C288/100</f>
        <v>18.600000000000001</v>
      </c>
      <c r="N288" s="48">
        <f>9.87*C288/100</f>
        <v>4.9349999999999996</v>
      </c>
      <c r="O288" s="42">
        <f>0.62*C288/100</f>
        <v>0.31</v>
      </c>
      <c r="P288" s="49">
        <f>0.03*C288/100</f>
        <v>1.4999999999999999E-2</v>
      </c>
      <c r="Q288" s="49">
        <f>6.56*C288/100</f>
        <v>3.28</v>
      </c>
      <c r="R288" s="231" t="s">
        <v>253</v>
      </c>
      <c r="S288" s="233">
        <v>190303</v>
      </c>
    </row>
    <row r="289" spans="1:19" s="63" customFormat="1" x14ac:dyDescent="0.2">
      <c r="A289" s="49">
        <v>2</v>
      </c>
      <c r="B289" s="47" t="s">
        <v>163</v>
      </c>
      <c r="C289" s="41">
        <v>200</v>
      </c>
      <c r="D289" s="60">
        <f>3.05*C289/100</f>
        <v>6.1</v>
      </c>
      <c r="E289" s="60">
        <f>3.11*C289/100</f>
        <v>6.22</v>
      </c>
      <c r="F289" s="60">
        <f>9.83*C289/100</f>
        <v>19.66</v>
      </c>
      <c r="G289" s="60">
        <f>79.2*C289/100</f>
        <v>158.4</v>
      </c>
      <c r="H289" s="42">
        <f>0.26*C289/100</f>
        <v>0.52</v>
      </c>
      <c r="I289" s="42">
        <f>14.61*C289/100</f>
        <v>29.22</v>
      </c>
      <c r="J289" s="42">
        <f>0.4*C289/100</f>
        <v>0.8</v>
      </c>
      <c r="K289" s="42">
        <v>0</v>
      </c>
      <c r="L289" s="48">
        <f>24.96*C289/100</f>
        <v>49.92</v>
      </c>
      <c r="M289" s="48">
        <v>0</v>
      </c>
      <c r="N289" s="48">
        <f>0.1*C289/100</f>
        <v>0.2</v>
      </c>
      <c r="O289" s="42">
        <v>0</v>
      </c>
      <c r="P289" s="49">
        <v>0.14000000000000001</v>
      </c>
      <c r="Q289" s="49">
        <v>7.68</v>
      </c>
      <c r="R289" s="237">
        <v>160101</v>
      </c>
      <c r="S289" s="233">
        <v>160102</v>
      </c>
    </row>
    <row r="290" spans="1:19" s="37" customFormat="1" x14ac:dyDescent="0.2">
      <c r="A290" s="49"/>
      <c r="B290" s="132" t="s">
        <v>4</v>
      </c>
      <c r="C290" s="120"/>
      <c r="D290" s="169">
        <f t="shared" ref="D290:Q290" si="50">SUM(D288:D289)</f>
        <v>10.1</v>
      </c>
      <c r="E290" s="169">
        <f t="shared" si="50"/>
        <v>8.9699999999999989</v>
      </c>
      <c r="F290" s="169">
        <f t="shared" si="50"/>
        <v>46.96</v>
      </c>
      <c r="G290" s="169">
        <f t="shared" si="50"/>
        <v>308.35000000000002</v>
      </c>
      <c r="H290" s="169">
        <f t="shared" si="50"/>
        <v>0.56500000000000006</v>
      </c>
      <c r="I290" s="169">
        <f t="shared" si="50"/>
        <v>29.529999999999998</v>
      </c>
      <c r="J290" s="169">
        <f t="shared" si="50"/>
        <v>0.80500000000000005</v>
      </c>
      <c r="K290" s="169">
        <f t="shared" si="50"/>
        <v>1.2450000000000001</v>
      </c>
      <c r="L290" s="152">
        <f t="shared" si="50"/>
        <v>55.61</v>
      </c>
      <c r="M290" s="152">
        <f t="shared" si="50"/>
        <v>18.600000000000001</v>
      </c>
      <c r="N290" s="152">
        <f t="shared" si="50"/>
        <v>5.1349999999999998</v>
      </c>
      <c r="O290" s="169">
        <f t="shared" si="50"/>
        <v>0.31</v>
      </c>
      <c r="P290" s="125">
        <f t="shared" si="50"/>
        <v>0.15500000000000003</v>
      </c>
      <c r="Q290" s="125">
        <f t="shared" si="50"/>
        <v>10.959999999999999</v>
      </c>
      <c r="R290" s="233"/>
      <c r="S290" s="233"/>
    </row>
    <row r="291" spans="1:19" s="37" customFormat="1" x14ac:dyDescent="0.2">
      <c r="A291" s="49"/>
      <c r="B291" s="132" t="s">
        <v>7</v>
      </c>
      <c r="C291" s="120"/>
      <c r="D291" s="168">
        <f t="shared" ref="D291:Q291" si="51">D276+D286+D290</f>
        <v>62.548000000000009</v>
      </c>
      <c r="E291" s="168">
        <f t="shared" si="51"/>
        <v>45.843499999999992</v>
      </c>
      <c r="F291" s="168">
        <f t="shared" si="51"/>
        <v>257.16000000000003</v>
      </c>
      <c r="G291" s="168">
        <f t="shared" si="51"/>
        <v>1653.5039999999999</v>
      </c>
      <c r="H291" s="168">
        <f t="shared" si="51"/>
        <v>2.12</v>
      </c>
      <c r="I291" s="168">
        <f t="shared" si="51"/>
        <v>94.579000000000008</v>
      </c>
      <c r="J291" s="168">
        <f t="shared" si="51"/>
        <v>4.9689999999999985</v>
      </c>
      <c r="K291" s="168">
        <f t="shared" si="51"/>
        <v>10.507000000000001</v>
      </c>
      <c r="L291" s="167">
        <f t="shared" si="51"/>
        <v>403.58600000000001</v>
      </c>
      <c r="M291" s="167">
        <f t="shared" si="51"/>
        <v>648.60100000000011</v>
      </c>
      <c r="N291" s="167">
        <f t="shared" si="51"/>
        <v>237.12199999999999</v>
      </c>
      <c r="O291" s="168">
        <f t="shared" si="51"/>
        <v>17.119</v>
      </c>
      <c r="P291" s="168">
        <f t="shared" si="51"/>
        <v>2.2745000000000006</v>
      </c>
      <c r="Q291" s="168">
        <f t="shared" si="51"/>
        <v>37</v>
      </c>
      <c r="R291" s="233"/>
      <c r="S291" s="233"/>
    </row>
    <row r="292" spans="1:19" s="37" customFormat="1" x14ac:dyDescent="0.2">
      <c r="A292" s="49"/>
      <c r="B292" s="132" t="s">
        <v>153</v>
      </c>
      <c r="C292" s="120"/>
      <c r="D292" s="168">
        <f t="shared" ref="D292:Q292" si="52">(D177+D200+D222+D246+D269+D291)/6</f>
        <v>59.300083333333333</v>
      </c>
      <c r="E292" s="168">
        <f t="shared" si="52"/>
        <v>55.224333333333334</v>
      </c>
      <c r="F292" s="168">
        <f t="shared" si="52"/>
        <v>228.36716666666666</v>
      </c>
      <c r="G292" s="168">
        <f t="shared" si="52"/>
        <v>1645.6288333333334</v>
      </c>
      <c r="H292" s="168">
        <f t="shared" si="52"/>
        <v>1.2850000000000001</v>
      </c>
      <c r="I292" s="168">
        <f t="shared" si="52"/>
        <v>90.850166666666667</v>
      </c>
      <c r="J292" s="168">
        <f t="shared" si="52"/>
        <v>1.8002859999999998</v>
      </c>
      <c r="K292" s="168">
        <f t="shared" si="52"/>
        <v>9.2766666666666655</v>
      </c>
      <c r="L292" s="168">
        <f t="shared" si="52"/>
        <v>547.31883333333337</v>
      </c>
      <c r="M292" s="168">
        <f t="shared" si="52"/>
        <v>723.74633333333338</v>
      </c>
      <c r="N292" s="168">
        <f t="shared" si="52"/>
        <v>225.13850000000002</v>
      </c>
      <c r="O292" s="168">
        <f t="shared" si="52"/>
        <v>10.422566666666667</v>
      </c>
      <c r="P292" s="168">
        <f t="shared" si="52"/>
        <v>1.1285000000000001</v>
      </c>
      <c r="Q292" s="168">
        <f t="shared" si="52"/>
        <v>31.557500000000001</v>
      </c>
      <c r="R292" s="233"/>
      <c r="S292" s="233"/>
    </row>
    <row r="293" spans="1:19" s="37" customFormat="1" x14ac:dyDescent="0.2">
      <c r="A293" s="299" t="s">
        <v>52</v>
      </c>
      <c r="B293" s="299"/>
      <c r="C293" s="299"/>
      <c r="D293" s="299"/>
      <c r="E293" s="299"/>
      <c r="F293" s="299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</row>
    <row r="294" spans="1:19" s="37" customFormat="1" x14ac:dyDescent="0.2">
      <c r="A294" s="299" t="s">
        <v>3</v>
      </c>
      <c r="B294" s="299"/>
      <c r="C294" s="299"/>
      <c r="D294" s="299"/>
      <c r="E294" s="299"/>
      <c r="F294" s="299"/>
      <c r="G294" s="280"/>
      <c r="H294" s="280"/>
      <c r="I294" s="280"/>
      <c r="J294" s="280"/>
      <c r="K294" s="280"/>
      <c r="L294" s="280"/>
      <c r="M294" s="280"/>
      <c r="N294" s="280"/>
      <c r="O294" s="280"/>
      <c r="P294" s="280"/>
      <c r="Q294" s="280"/>
      <c r="R294" s="280"/>
      <c r="S294" s="280"/>
    </row>
    <row r="295" spans="1:19" s="63" customFormat="1" x14ac:dyDescent="0.2">
      <c r="A295" s="49">
        <v>1</v>
      </c>
      <c r="B295" s="47" t="s">
        <v>263</v>
      </c>
      <c r="C295" s="41">
        <v>150</v>
      </c>
      <c r="D295" s="42">
        <f>3.8*C295/100</f>
        <v>5.7</v>
      </c>
      <c r="E295" s="42">
        <f>4.8*C295/100</f>
        <v>7.2</v>
      </c>
      <c r="F295" s="42">
        <f>15.6*C295/100</f>
        <v>23.4</v>
      </c>
      <c r="G295" s="42">
        <f>120.8*C295/100</f>
        <v>181.2</v>
      </c>
      <c r="H295" s="42">
        <f>0.16*C295/100</f>
        <v>0.24</v>
      </c>
      <c r="I295" s="42">
        <f>8.8*C295/100</f>
        <v>13.2</v>
      </c>
      <c r="J295" s="42">
        <f>0.04*C295/100</f>
        <v>0.06</v>
      </c>
      <c r="K295" s="42">
        <f>0.03*C295/100</f>
        <v>4.4999999999999998E-2</v>
      </c>
      <c r="L295" s="48">
        <f>106.2*C295/100</f>
        <v>159.30000000000001</v>
      </c>
      <c r="M295" s="48">
        <f>90.66*C295/100</f>
        <v>135.99</v>
      </c>
      <c r="N295" s="48">
        <f>14.94*C295/100</f>
        <v>22.41</v>
      </c>
      <c r="O295" s="42">
        <f>0.25*C295/100</f>
        <v>0.375</v>
      </c>
      <c r="P295" s="49">
        <f>0.13*C295/100</f>
        <v>0.19500000000000001</v>
      </c>
      <c r="Q295" s="49">
        <v>3.5</v>
      </c>
      <c r="R295" s="233">
        <v>120216</v>
      </c>
      <c r="S295" s="233">
        <v>120217</v>
      </c>
    </row>
    <row r="296" spans="1:19" s="63" customFormat="1" x14ac:dyDescent="0.2">
      <c r="A296" s="49">
        <v>2</v>
      </c>
      <c r="B296" s="47" t="s">
        <v>122</v>
      </c>
      <c r="C296" s="41">
        <v>200</v>
      </c>
      <c r="D296" s="94">
        <f>2.25*C296/100</f>
        <v>4.5</v>
      </c>
      <c r="E296" s="94">
        <f>2.24*C296/100</f>
        <v>4.4800000000000004</v>
      </c>
      <c r="F296" s="94">
        <f>10.25*C296/100</f>
        <v>20.5</v>
      </c>
      <c r="G296" s="94">
        <f>70.23*C296/100</f>
        <v>140.46</v>
      </c>
      <c r="H296" s="42">
        <f>0.13*C296/100</f>
        <v>0.26</v>
      </c>
      <c r="I296" s="42">
        <f>7*C296/100</f>
        <v>14</v>
      </c>
      <c r="J296" s="42">
        <f>0*C296/100</f>
        <v>0</v>
      </c>
      <c r="K296" s="42">
        <v>0</v>
      </c>
      <c r="L296" s="48">
        <f>1.55*C296/100</f>
        <v>3.1</v>
      </c>
      <c r="M296" s="48">
        <v>0</v>
      </c>
      <c r="N296" s="48">
        <f>0.3*C296/100</f>
        <v>0.6</v>
      </c>
      <c r="O296" s="42">
        <f>0.02*C296/100</f>
        <v>0.04</v>
      </c>
      <c r="P296" s="49">
        <v>0</v>
      </c>
      <c r="Q296" s="49">
        <v>3.58</v>
      </c>
      <c r="R296" s="233">
        <v>160104</v>
      </c>
      <c r="S296" s="233"/>
    </row>
    <row r="297" spans="1:19" s="63" customFormat="1" x14ac:dyDescent="0.2">
      <c r="A297" s="49">
        <v>3</v>
      </c>
      <c r="B297" s="47" t="s">
        <v>170</v>
      </c>
      <c r="C297" s="41">
        <v>40</v>
      </c>
      <c r="D297" s="42">
        <f>12.7*C297/100</f>
        <v>5.08</v>
      </c>
      <c r="E297" s="42">
        <f>11.5*C297/100</f>
        <v>4.5999999999999996</v>
      </c>
      <c r="F297" s="42">
        <f>0.7*C297/100</f>
        <v>0.28000000000000003</v>
      </c>
      <c r="G297" s="42">
        <f>157*C297/100</f>
        <v>62.8</v>
      </c>
      <c r="H297" s="42">
        <f>0.07*C297/100</f>
        <v>2.8000000000000004E-2</v>
      </c>
      <c r="I297" s="42">
        <f>0*C297/100</f>
        <v>0</v>
      </c>
      <c r="J297" s="42">
        <f>0.25*C297/100</f>
        <v>0.1</v>
      </c>
      <c r="K297" s="42">
        <f>0*C297/100</f>
        <v>0</v>
      </c>
      <c r="L297" s="48">
        <f>55*C297/100</f>
        <v>22</v>
      </c>
      <c r="M297" s="48">
        <f>0.2*C297/100</f>
        <v>0.08</v>
      </c>
      <c r="N297" s="48">
        <f>12.06*C297/100</f>
        <v>4.8240000000000007</v>
      </c>
      <c r="O297" s="42">
        <f>2.5*C297/100</f>
        <v>1</v>
      </c>
      <c r="P297" s="49">
        <f>0.44*C297/100</f>
        <v>0.17600000000000002</v>
      </c>
      <c r="Q297" s="49">
        <f>20*C297/100</f>
        <v>8</v>
      </c>
      <c r="R297" s="233">
        <v>120304</v>
      </c>
      <c r="S297" s="233"/>
    </row>
    <row r="298" spans="1:19" s="63" customFormat="1" x14ac:dyDescent="0.2">
      <c r="A298" s="49">
        <v>4</v>
      </c>
      <c r="B298" s="96" t="s">
        <v>142</v>
      </c>
      <c r="C298" s="41">
        <v>30</v>
      </c>
      <c r="D298" s="42">
        <f>8.8*C298/100</f>
        <v>2.64</v>
      </c>
      <c r="E298" s="42">
        <f>1.7*C298/100</f>
        <v>0.51</v>
      </c>
      <c r="F298" s="42">
        <f>29.4*C298/100</f>
        <v>8.82</v>
      </c>
      <c r="G298" s="42">
        <f>168*C298/100</f>
        <v>50.4</v>
      </c>
      <c r="H298" s="42">
        <f>0.34*C298/100</f>
        <v>0.10200000000000001</v>
      </c>
      <c r="I298" s="42">
        <f>0*C298/100</f>
        <v>0</v>
      </c>
      <c r="J298" s="42">
        <v>0</v>
      </c>
      <c r="K298" s="42">
        <f>1.5*C298/100</f>
        <v>0.45</v>
      </c>
      <c r="L298" s="48">
        <f>148.1*C298/100</f>
        <v>44.43</v>
      </c>
      <c r="M298" s="48">
        <f>0*C298/100</f>
        <v>0</v>
      </c>
      <c r="N298" s="48">
        <f>16*C298/100</f>
        <v>4.8</v>
      </c>
      <c r="O298" s="42">
        <f>2.4*C298/100</f>
        <v>0.72</v>
      </c>
      <c r="P298" s="56">
        <f>0.2*C298/100</f>
        <v>0.06</v>
      </c>
      <c r="Q298" s="56">
        <v>10</v>
      </c>
      <c r="R298" s="233">
        <v>200101</v>
      </c>
      <c r="S298" s="233"/>
    </row>
    <row r="299" spans="1:19" s="249" customFormat="1" x14ac:dyDescent="0.25">
      <c r="A299" s="49">
        <v>5</v>
      </c>
      <c r="B299" s="96" t="s">
        <v>276</v>
      </c>
      <c r="C299" s="41" t="s">
        <v>274</v>
      </c>
      <c r="D299" s="42">
        <v>0.3</v>
      </c>
      <c r="E299" s="42">
        <v>0</v>
      </c>
      <c r="F299" s="42">
        <v>27.9</v>
      </c>
      <c r="G299" s="42">
        <v>112.8</v>
      </c>
      <c r="H299" s="42">
        <v>0</v>
      </c>
      <c r="I299" s="42">
        <v>0</v>
      </c>
      <c r="J299" s="42">
        <v>0</v>
      </c>
      <c r="K299" s="42">
        <v>0</v>
      </c>
      <c r="L299" s="48">
        <v>0</v>
      </c>
      <c r="M299" s="48">
        <v>0</v>
      </c>
      <c r="N299" s="48">
        <v>0</v>
      </c>
      <c r="O299" s="42">
        <v>0</v>
      </c>
      <c r="P299" s="56">
        <v>0</v>
      </c>
      <c r="Q299" s="56">
        <v>0</v>
      </c>
      <c r="R299" s="233"/>
      <c r="S299" s="248"/>
    </row>
    <row r="300" spans="1:19" s="37" customFormat="1" x14ac:dyDescent="0.2">
      <c r="A300" s="49"/>
      <c r="B300" s="151" t="s">
        <v>4</v>
      </c>
      <c r="C300" s="109"/>
      <c r="D300" s="169">
        <f t="shared" ref="D300:Q300" si="53">SUM(D295:D299)</f>
        <v>18.22</v>
      </c>
      <c r="E300" s="169">
        <f t="shared" si="53"/>
        <v>16.790000000000003</v>
      </c>
      <c r="F300" s="169">
        <f t="shared" si="53"/>
        <v>80.900000000000006</v>
      </c>
      <c r="G300" s="169">
        <f t="shared" si="53"/>
        <v>547.66</v>
      </c>
      <c r="H300" s="169">
        <f t="shared" si="53"/>
        <v>0.63</v>
      </c>
      <c r="I300" s="169">
        <f t="shared" si="53"/>
        <v>27.2</v>
      </c>
      <c r="J300" s="169">
        <f t="shared" si="53"/>
        <v>0.16</v>
      </c>
      <c r="K300" s="169">
        <f t="shared" si="53"/>
        <v>0.495</v>
      </c>
      <c r="L300" s="152">
        <f t="shared" si="53"/>
        <v>228.83</v>
      </c>
      <c r="M300" s="152">
        <f t="shared" si="53"/>
        <v>136.07000000000002</v>
      </c>
      <c r="N300" s="152">
        <f t="shared" si="53"/>
        <v>32.634</v>
      </c>
      <c r="O300" s="169">
        <f t="shared" si="53"/>
        <v>2.1349999999999998</v>
      </c>
      <c r="P300" s="169">
        <f t="shared" si="53"/>
        <v>0.43099999999999999</v>
      </c>
      <c r="Q300" s="169">
        <f t="shared" si="53"/>
        <v>25.08</v>
      </c>
      <c r="R300" s="233"/>
      <c r="S300" s="233"/>
    </row>
    <row r="301" spans="1:19" s="37" customFormat="1" x14ac:dyDescent="0.2">
      <c r="A301" s="299" t="s">
        <v>5</v>
      </c>
      <c r="B301" s="299"/>
      <c r="C301" s="299"/>
      <c r="D301" s="299"/>
      <c r="E301" s="299"/>
      <c r="F301" s="299"/>
      <c r="G301" s="280"/>
      <c r="H301" s="280"/>
      <c r="I301" s="280"/>
      <c r="J301" s="280"/>
      <c r="K301" s="280"/>
      <c r="L301" s="280"/>
      <c r="M301" s="280"/>
      <c r="N301" s="280"/>
      <c r="O301" s="280"/>
      <c r="P301" s="280"/>
      <c r="Q301" s="280"/>
      <c r="R301" s="280"/>
      <c r="S301" s="280"/>
    </row>
    <row r="302" spans="1:19" s="63" customFormat="1" x14ac:dyDescent="0.2">
      <c r="A302" s="49">
        <v>1</v>
      </c>
      <c r="B302" s="47" t="s">
        <v>64</v>
      </c>
      <c r="C302" s="182">
        <v>60</v>
      </c>
      <c r="D302" s="42">
        <f>1.07*C302/100</f>
        <v>0.64200000000000002</v>
      </c>
      <c r="E302" s="42">
        <f>15.15*C302/100</f>
        <v>9.09</v>
      </c>
      <c r="F302" s="42">
        <f>10.34*C302/100</f>
        <v>6.2039999999999997</v>
      </c>
      <c r="G302" s="42">
        <f>183.96*C302/100</f>
        <v>110.376</v>
      </c>
      <c r="H302" s="94">
        <f>0.03*C302/100</f>
        <v>1.7999999999999999E-2</v>
      </c>
      <c r="I302" s="94">
        <f>17.82*C302/100</f>
        <v>10.692</v>
      </c>
      <c r="J302" s="94">
        <v>0</v>
      </c>
      <c r="K302" s="94">
        <f>2.75*C302/100</f>
        <v>1.65</v>
      </c>
      <c r="L302" s="124">
        <f>33.21*C302/100</f>
        <v>19.926000000000002</v>
      </c>
      <c r="M302" s="124">
        <f>23.48*C302/100</f>
        <v>14.087999999999999</v>
      </c>
      <c r="N302" s="124">
        <f>14.02*C302/100</f>
        <v>8.411999999999999</v>
      </c>
      <c r="O302" s="94">
        <f>0.96*C302/100</f>
        <v>0.57599999999999996</v>
      </c>
      <c r="P302" s="49">
        <f>0.03*C302/100</f>
        <v>1.7999999999999999E-2</v>
      </c>
      <c r="Q302" s="49">
        <v>1.1299999999999999</v>
      </c>
      <c r="R302" s="233">
        <v>100504</v>
      </c>
      <c r="S302" s="233"/>
    </row>
    <row r="303" spans="1:19" s="63" customFormat="1" x14ac:dyDescent="0.2">
      <c r="A303" s="49">
        <v>2</v>
      </c>
      <c r="B303" s="47" t="s">
        <v>110</v>
      </c>
      <c r="C303" s="41">
        <v>250</v>
      </c>
      <c r="D303" s="42">
        <f>0.8*C303/100</f>
        <v>2</v>
      </c>
      <c r="E303" s="42">
        <f>2.4*C303/100</f>
        <v>6</v>
      </c>
      <c r="F303" s="42">
        <f>5.1*C303/100</f>
        <v>12.75</v>
      </c>
      <c r="G303" s="42">
        <f>45.2*C303/100</f>
        <v>113</v>
      </c>
      <c r="H303" s="42">
        <f>0.09*C303/100</f>
        <v>0.22500000000000001</v>
      </c>
      <c r="I303" s="42">
        <f>2.34*C303/100</f>
        <v>5.85</v>
      </c>
      <c r="J303" s="42">
        <f>0.01*C303/100</f>
        <v>2.5000000000000001E-2</v>
      </c>
      <c r="K303" s="42">
        <f>0.06*C303/100</f>
        <v>0.15</v>
      </c>
      <c r="L303" s="48">
        <f>15.23*C303/100</f>
        <v>38.075000000000003</v>
      </c>
      <c r="M303" s="48">
        <f>34.92*C303/100</f>
        <v>87.3</v>
      </c>
      <c r="N303" s="48">
        <f>14.35*C303/100</f>
        <v>35.875</v>
      </c>
      <c r="O303" s="42">
        <f>0.8*C303/100</f>
        <v>2</v>
      </c>
      <c r="P303" s="49">
        <f>0.03*C303/100</f>
        <v>7.4999999999999997E-2</v>
      </c>
      <c r="Q303" s="49">
        <v>2.9</v>
      </c>
      <c r="R303" s="233">
        <v>110307</v>
      </c>
      <c r="S303" s="233">
        <v>110308</v>
      </c>
    </row>
    <row r="304" spans="1:19" s="63" customFormat="1" x14ac:dyDescent="0.2">
      <c r="A304" s="49">
        <v>3</v>
      </c>
      <c r="B304" s="47" t="s">
        <v>124</v>
      </c>
      <c r="C304" s="41">
        <v>10</v>
      </c>
      <c r="D304" s="42">
        <f>11.1*C304/100</f>
        <v>1.1100000000000001</v>
      </c>
      <c r="E304" s="42">
        <f>3.79*C304/100</f>
        <v>0.379</v>
      </c>
      <c r="F304" s="42">
        <f>76.15*C304/100</f>
        <v>7.6150000000000002</v>
      </c>
      <c r="G304" s="42">
        <f>390.39*C304/100</f>
        <v>39.038999999999994</v>
      </c>
      <c r="H304" s="42">
        <f>0.61*C304/100</f>
        <v>6.0999999999999999E-2</v>
      </c>
      <c r="I304" s="42">
        <f>0*C304/100</f>
        <v>0</v>
      </c>
      <c r="J304" s="42">
        <f>0*C304/100</f>
        <v>0</v>
      </c>
      <c r="K304" s="42">
        <f>0*C304/100</f>
        <v>0</v>
      </c>
      <c r="L304" s="48">
        <f>211.78*C304/100</f>
        <v>21.178000000000001</v>
      </c>
      <c r="M304" s="48">
        <f>0.25*C304/100</f>
        <v>2.5000000000000001E-2</v>
      </c>
      <c r="N304" s="48">
        <f>22.8*C304/100</f>
        <v>2.2799999999999998</v>
      </c>
      <c r="O304" s="42">
        <f>0.002*C304/100</f>
        <v>2.0000000000000001E-4</v>
      </c>
      <c r="P304" s="49">
        <f>0.44*C304/100</f>
        <v>4.4000000000000004E-2</v>
      </c>
      <c r="Q304" s="49">
        <v>0</v>
      </c>
      <c r="R304" s="233">
        <v>180601</v>
      </c>
      <c r="S304" s="233"/>
    </row>
    <row r="305" spans="1:24" s="63" customFormat="1" x14ac:dyDescent="0.2">
      <c r="A305" s="49">
        <v>4</v>
      </c>
      <c r="B305" s="47" t="s">
        <v>121</v>
      </c>
      <c r="C305" s="41">
        <v>100</v>
      </c>
      <c r="D305" s="42">
        <f>13.9*C305/100</f>
        <v>13.9</v>
      </c>
      <c r="E305" s="42">
        <f>7.4*C305/100</f>
        <v>7.4</v>
      </c>
      <c r="F305" s="42">
        <f>12.5*C305/100</f>
        <v>12.5</v>
      </c>
      <c r="G305" s="42">
        <f>172.2*C305/100</f>
        <v>172.2</v>
      </c>
      <c r="H305" s="42">
        <f>0.05*C305/100</f>
        <v>0.05</v>
      </c>
      <c r="I305" s="42">
        <f>2.59*C305/100</f>
        <v>2.59</v>
      </c>
      <c r="J305" s="42">
        <f>1.44*C305/100</f>
        <v>1.44</v>
      </c>
      <c r="K305" s="42">
        <f>1.27*C305/100</f>
        <v>1.27</v>
      </c>
      <c r="L305" s="48">
        <f>14.01*C305/100</f>
        <v>14.01</v>
      </c>
      <c r="M305" s="48">
        <f>129.66*C305/100</f>
        <v>129.66</v>
      </c>
      <c r="N305" s="48">
        <f>20.62*C305/100</f>
        <v>20.62</v>
      </c>
      <c r="O305" s="42">
        <f>1.75*C305/100</f>
        <v>1.75</v>
      </c>
      <c r="P305" s="49">
        <v>0.1</v>
      </c>
      <c r="Q305" s="49">
        <v>3.83</v>
      </c>
      <c r="R305" s="233">
        <v>120523</v>
      </c>
      <c r="S305" s="233">
        <v>120524</v>
      </c>
    </row>
    <row r="306" spans="1:24" s="63" customFormat="1" x14ac:dyDescent="0.2">
      <c r="A306" s="49">
        <v>5</v>
      </c>
      <c r="B306" s="47" t="s">
        <v>118</v>
      </c>
      <c r="C306" s="41">
        <v>30</v>
      </c>
      <c r="D306" s="42">
        <f>0.6*C306/100</f>
        <v>0.18</v>
      </c>
      <c r="E306" s="42">
        <f>4.4*C306/100</f>
        <v>1.32</v>
      </c>
      <c r="F306" s="42">
        <f>6.6*C306/100</f>
        <v>1.98</v>
      </c>
      <c r="G306" s="42">
        <f>68.4*C306/100</f>
        <v>20.52</v>
      </c>
      <c r="H306" s="42">
        <f>0.3*C306/100</f>
        <v>0.09</v>
      </c>
      <c r="I306" s="42">
        <f>15*C306/100</f>
        <v>4.5</v>
      </c>
      <c r="J306" s="42">
        <f>0.35*C306/100</f>
        <v>0.105</v>
      </c>
      <c r="K306" s="42">
        <f>0*C306/100</f>
        <v>0</v>
      </c>
      <c r="L306" s="48">
        <v>0</v>
      </c>
      <c r="M306" s="48">
        <v>0</v>
      </c>
      <c r="N306" s="48">
        <v>0</v>
      </c>
      <c r="O306" s="42">
        <v>0</v>
      </c>
      <c r="P306" s="49">
        <f>0.3*C306/100</f>
        <v>0.09</v>
      </c>
      <c r="Q306" s="49">
        <f>1.3*C306/100</f>
        <v>0.39</v>
      </c>
      <c r="R306" s="233">
        <v>140101</v>
      </c>
      <c r="S306" s="231">
        <v>140102</v>
      </c>
    </row>
    <row r="307" spans="1:24" s="64" customFormat="1" ht="18.75" customHeight="1" x14ac:dyDescent="0.25">
      <c r="A307" s="49">
        <v>6</v>
      </c>
      <c r="B307" s="47" t="s">
        <v>114</v>
      </c>
      <c r="C307" s="41">
        <v>150</v>
      </c>
      <c r="D307" s="42">
        <f>3.1*C307/100</f>
        <v>4.6500000000000004</v>
      </c>
      <c r="E307" s="42">
        <f>2.8*C307/100</f>
        <v>4.2</v>
      </c>
      <c r="F307" s="42">
        <f>30.3*C307/100</f>
        <v>45.45</v>
      </c>
      <c r="G307" s="42">
        <f>166.8*C307/100</f>
        <v>250.2</v>
      </c>
      <c r="H307" s="42">
        <f>0.04*C307/100</f>
        <v>0.06</v>
      </c>
      <c r="I307" s="42">
        <f>0*C307/100</f>
        <v>0</v>
      </c>
      <c r="J307" s="42">
        <f>0.02*C307/100</f>
        <v>0.03</v>
      </c>
      <c r="K307" s="42">
        <f>0.05*C307/100</f>
        <v>7.4999999999999997E-2</v>
      </c>
      <c r="L307" s="48">
        <f>3.95*C307/100</f>
        <v>5.9249999999999998</v>
      </c>
      <c r="M307" s="48">
        <f>23.34*C307/100</f>
        <v>35.01</v>
      </c>
      <c r="N307" s="48">
        <f>5.12*C307/100</f>
        <v>7.68</v>
      </c>
      <c r="O307" s="42">
        <f>0.5*C307/100</f>
        <v>0.75</v>
      </c>
      <c r="P307" s="49">
        <f>0.01*C307/100</f>
        <v>1.4999999999999999E-2</v>
      </c>
      <c r="Q307" s="49">
        <f>1.5*C307/100</f>
        <v>2.25</v>
      </c>
      <c r="R307" s="235">
        <v>130401</v>
      </c>
      <c r="S307" s="235">
        <v>130402</v>
      </c>
    </row>
    <row r="308" spans="1:24" s="66" customFormat="1" x14ac:dyDescent="0.2">
      <c r="A308" s="49">
        <v>7</v>
      </c>
      <c r="B308" s="47" t="s">
        <v>231</v>
      </c>
      <c r="C308" s="41">
        <v>200</v>
      </c>
      <c r="D308" s="60">
        <f>0.7*C308/100</f>
        <v>1.4</v>
      </c>
      <c r="E308" s="60">
        <v>0</v>
      </c>
      <c r="F308" s="60">
        <f>12*C308/100</f>
        <v>24</v>
      </c>
      <c r="G308" s="60">
        <f>48*C308/100</f>
        <v>96</v>
      </c>
      <c r="H308" s="42">
        <f>0.105*C308/100</f>
        <v>0.21</v>
      </c>
      <c r="I308" s="42">
        <f>2*C308/100</f>
        <v>4</v>
      </c>
      <c r="J308" s="42">
        <f>0.03*C308/100</f>
        <v>0.06</v>
      </c>
      <c r="K308" s="42">
        <f>0.35*C308/100</f>
        <v>0.7</v>
      </c>
      <c r="L308" s="48">
        <f>10.5*C308/100</f>
        <v>21</v>
      </c>
      <c r="M308" s="48">
        <f>8*C308/100</f>
        <v>16</v>
      </c>
      <c r="N308" s="48">
        <f>11.5*C308/100</f>
        <v>23</v>
      </c>
      <c r="O308" s="49">
        <f>0.35*C308/100</f>
        <v>0.7</v>
      </c>
      <c r="P308" s="49">
        <v>0</v>
      </c>
      <c r="Q308" s="49">
        <v>0.4</v>
      </c>
      <c r="R308" s="233"/>
      <c r="S308" s="233"/>
    </row>
    <row r="309" spans="1:24" s="63" customFormat="1" x14ac:dyDescent="0.2">
      <c r="A309" s="49">
        <v>8</v>
      </c>
      <c r="B309" s="47" t="s">
        <v>160</v>
      </c>
      <c r="C309" s="41">
        <v>40</v>
      </c>
      <c r="D309" s="42">
        <f>7.76*C309/100</f>
        <v>3.1039999999999996</v>
      </c>
      <c r="E309" s="42">
        <f>2.65*C309/100</f>
        <v>1.06</v>
      </c>
      <c r="F309" s="42">
        <f>53.25*C309/100</f>
        <v>21.3</v>
      </c>
      <c r="G309" s="42">
        <f>273*C309/100</f>
        <v>109.2</v>
      </c>
      <c r="H309" s="42">
        <f>0.34*C309/100</f>
        <v>0.13600000000000001</v>
      </c>
      <c r="I309" s="42">
        <f>0*C309/100</f>
        <v>0</v>
      </c>
      <c r="J309" s="42">
        <v>0</v>
      </c>
      <c r="K309" s="42">
        <f>1.5*C309/100</f>
        <v>0.6</v>
      </c>
      <c r="L309" s="48">
        <f>148.1*C309/100</f>
        <v>59.24</v>
      </c>
      <c r="M309" s="48">
        <f>0*C309/100</f>
        <v>0</v>
      </c>
      <c r="N309" s="48">
        <f>16*C309/100</f>
        <v>6.4</v>
      </c>
      <c r="O309" s="42">
        <f>2.4*C309/100</f>
        <v>0.96</v>
      </c>
      <c r="P309" s="56">
        <f>0.2*C309/100</f>
        <v>0.08</v>
      </c>
      <c r="Q309" s="56">
        <f>1.5*C309/100</f>
        <v>0.6</v>
      </c>
      <c r="R309" s="233">
        <v>200102</v>
      </c>
      <c r="S309" s="233"/>
    </row>
    <row r="310" spans="1:24" s="63" customFormat="1" x14ac:dyDescent="0.2">
      <c r="A310" s="49">
        <v>9</v>
      </c>
      <c r="B310" s="47" t="s">
        <v>159</v>
      </c>
      <c r="C310" s="41">
        <v>20</v>
      </c>
      <c r="D310" s="42">
        <f>5.86*C310/100</f>
        <v>1.1719999999999999</v>
      </c>
      <c r="E310" s="42">
        <f>0.94*C310/100</f>
        <v>0.18799999999999997</v>
      </c>
      <c r="F310" s="42">
        <f>44.4*C310/100</f>
        <v>8.8800000000000008</v>
      </c>
      <c r="G310" s="42">
        <f>189*C310/100</f>
        <v>37.799999999999997</v>
      </c>
      <c r="H310" s="42">
        <f>0.4*C310/100</f>
        <v>0.08</v>
      </c>
      <c r="I310" s="42">
        <f>0.03*C310/100</f>
        <v>6.0000000000000001E-3</v>
      </c>
      <c r="J310" s="42">
        <v>0</v>
      </c>
      <c r="K310" s="42">
        <f>1.7*C310/100</f>
        <v>0.34</v>
      </c>
      <c r="L310" s="48">
        <f>25.4*C310/100</f>
        <v>5.08</v>
      </c>
      <c r="M310" s="48">
        <f>105.53*C310/100</f>
        <v>21.105999999999998</v>
      </c>
      <c r="N310" s="48">
        <f>36.5*C310/100</f>
        <v>7.3</v>
      </c>
      <c r="O310" s="42">
        <f>2.45*C310/100</f>
        <v>0.49</v>
      </c>
      <c r="P310" s="56">
        <f>0.2*C310/100</f>
        <v>0.04</v>
      </c>
      <c r="Q310" s="56">
        <f>10*C310/100</f>
        <v>2</v>
      </c>
      <c r="R310" s="233">
        <v>200103</v>
      </c>
      <c r="S310" s="233"/>
    </row>
    <row r="311" spans="1:24" s="37" customFormat="1" x14ac:dyDescent="0.2">
      <c r="A311" s="49"/>
      <c r="B311" s="132" t="s">
        <v>4</v>
      </c>
      <c r="C311" s="120"/>
      <c r="D311" s="168">
        <f t="shared" ref="D311:Q311" si="54">SUM(D302:D310)</f>
        <v>28.157999999999998</v>
      </c>
      <c r="E311" s="168">
        <f t="shared" si="54"/>
        <v>29.636999999999997</v>
      </c>
      <c r="F311" s="168">
        <f t="shared" si="54"/>
        <v>140.679</v>
      </c>
      <c r="G311" s="168">
        <f t="shared" si="54"/>
        <v>948.33500000000004</v>
      </c>
      <c r="H311" s="168">
        <f t="shared" si="54"/>
        <v>0.92999999999999994</v>
      </c>
      <c r="I311" s="168">
        <f t="shared" si="54"/>
        <v>27.638000000000002</v>
      </c>
      <c r="J311" s="168">
        <f t="shared" si="54"/>
        <v>1.66</v>
      </c>
      <c r="K311" s="168">
        <f t="shared" si="54"/>
        <v>4.7849999999999993</v>
      </c>
      <c r="L311" s="167">
        <f t="shared" si="54"/>
        <v>184.43400000000003</v>
      </c>
      <c r="M311" s="167">
        <f t="shared" si="54"/>
        <v>303.18899999999996</v>
      </c>
      <c r="N311" s="167">
        <f t="shared" si="54"/>
        <v>111.56699999999999</v>
      </c>
      <c r="O311" s="168">
        <f t="shared" si="54"/>
        <v>7.2262000000000004</v>
      </c>
      <c r="P311" s="125">
        <f t="shared" si="54"/>
        <v>0.46200000000000002</v>
      </c>
      <c r="Q311" s="125">
        <f t="shared" si="54"/>
        <v>13.5</v>
      </c>
      <c r="R311" s="233"/>
      <c r="S311" s="233"/>
    </row>
    <row r="312" spans="1:24" s="37" customFormat="1" x14ac:dyDescent="0.2">
      <c r="A312" s="299" t="s">
        <v>35</v>
      </c>
      <c r="B312" s="299"/>
      <c r="C312" s="299"/>
      <c r="D312" s="299"/>
      <c r="E312" s="299"/>
      <c r="F312" s="299"/>
      <c r="G312" s="280"/>
      <c r="H312" s="280"/>
      <c r="I312" s="280"/>
      <c r="J312" s="280"/>
      <c r="K312" s="280"/>
      <c r="L312" s="280"/>
      <c r="M312" s="280"/>
      <c r="N312" s="280"/>
      <c r="O312" s="280"/>
      <c r="P312" s="280"/>
      <c r="Q312" s="280"/>
      <c r="R312" s="280"/>
      <c r="S312" s="280"/>
    </row>
    <row r="313" spans="1:24" s="63" customFormat="1" ht="31.5" x14ac:dyDescent="0.2">
      <c r="A313" s="49">
        <v>1</v>
      </c>
      <c r="B313" s="47" t="s">
        <v>217</v>
      </c>
      <c r="C313" s="41">
        <v>50</v>
      </c>
      <c r="D313" s="42">
        <f>8.2*C313/100</f>
        <v>4.0999999999999996</v>
      </c>
      <c r="E313" s="42">
        <f>7.8*C313/100</f>
        <v>3.9</v>
      </c>
      <c r="F313" s="42">
        <f>48.2*C313/100</f>
        <v>24.1</v>
      </c>
      <c r="G313" s="42">
        <f>295.8*C313/100</f>
        <v>147.9</v>
      </c>
      <c r="H313" s="42">
        <f>0.1*C313/100</f>
        <v>0.05</v>
      </c>
      <c r="I313" s="42">
        <f>0.47*C313/100</f>
        <v>0.23499999999999999</v>
      </c>
      <c r="J313" s="42">
        <f>0.02*C313/100</f>
        <v>0.01</v>
      </c>
      <c r="K313" s="42">
        <f>0.81*C313/100</f>
        <v>0.40500000000000003</v>
      </c>
      <c r="L313" s="48">
        <f>11.12*C313/100</f>
        <v>5.56</v>
      </c>
      <c r="M313" s="48">
        <f>53.4*C313/100</f>
        <v>26.7</v>
      </c>
      <c r="N313" s="48">
        <f>12.64*C313/100</f>
        <v>6.32</v>
      </c>
      <c r="O313" s="42">
        <f>0.71*C313/100</f>
        <v>0.35499999999999998</v>
      </c>
      <c r="P313" s="56">
        <f>0.05*C313/100</f>
        <v>2.5000000000000001E-2</v>
      </c>
      <c r="Q313" s="62">
        <v>0</v>
      </c>
      <c r="R313" s="231" t="s">
        <v>249</v>
      </c>
      <c r="S313" s="233">
        <v>190209</v>
      </c>
    </row>
    <row r="314" spans="1:24" s="64" customFormat="1" ht="42" customHeight="1" x14ac:dyDescent="0.3">
      <c r="A314" s="49">
        <v>2</v>
      </c>
      <c r="B314" s="47" t="s">
        <v>169</v>
      </c>
      <c r="C314" s="41">
        <v>200</v>
      </c>
      <c r="D314" s="42">
        <f>0.07*C314/100</f>
        <v>0.14000000000000001</v>
      </c>
      <c r="E314" s="42">
        <v>0</v>
      </c>
      <c r="F314" s="42">
        <f>9.24*C314/100</f>
        <v>18.48</v>
      </c>
      <c r="G314" s="42">
        <f>28.66*C314/100</f>
        <v>57.32</v>
      </c>
      <c r="H314" s="42">
        <v>0</v>
      </c>
      <c r="I314" s="42">
        <f>1.5*C314/100</f>
        <v>3</v>
      </c>
      <c r="J314" s="42">
        <v>0</v>
      </c>
      <c r="K314" s="42">
        <v>0</v>
      </c>
      <c r="L314" s="42">
        <f>8.65*C314/100</f>
        <v>17.3</v>
      </c>
      <c r="M314" s="42">
        <f>5.07*C314/100</f>
        <v>10.14</v>
      </c>
      <c r="N314" s="42">
        <f>1.65*C314/100</f>
        <v>3.3</v>
      </c>
      <c r="O314" s="42">
        <f>0.01*C314/100</f>
        <v>0.02</v>
      </c>
      <c r="P314" s="55">
        <v>0</v>
      </c>
      <c r="Q314" s="186">
        <v>0</v>
      </c>
      <c r="R314" s="235">
        <v>160201</v>
      </c>
      <c r="S314" s="235"/>
      <c r="T314" s="71"/>
      <c r="U314" s="71"/>
      <c r="V314" s="71"/>
      <c r="W314" s="71"/>
      <c r="X314" s="71"/>
    </row>
    <row r="315" spans="1:24" s="64" customFormat="1" x14ac:dyDescent="0.3">
      <c r="A315" s="49">
        <v>3</v>
      </c>
      <c r="B315" s="47" t="s">
        <v>267</v>
      </c>
      <c r="C315" s="41">
        <v>100</v>
      </c>
      <c r="D315" s="42">
        <f>4.5*C315/100</f>
        <v>4.5</v>
      </c>
      <c r="E315" s="166">
        <f>8.5*C315/100</f>
        <v>8.5</v>
      </c>
      <c r="F315" s="42">
        <f>3.5*C315/100</f>
        <v>3.5</v>
      </c>
      <c r="G315" s="166">
        <f>88.5*C315/100</f>
        <v>88.5</v>
      </c>
      <c r="H315" s="42">
        <f>0.04*C315/100</f>
        <v>0.04</v>
      </c>
      <c r="I315" s="166">
        <f>0.6*C315/100</f>
        <v>0.6</v>
      </c>
      <c r="J315" s="42">
        <f>0.03*C315/100</f>
        <v>0.03</v>
      </c>
      <c r="K315" s="166">
        <v>0</v>
      </c>
      <c r="L315" s="42">
        <f>122*C315/100</f>
        <v>122</v>
      </c>
      <c r="M315" s="42">
        <f>96*C315/100</f>
        <v>96</v>
      </c>
      <c r="N315" s="42">
        <f>15*C315/100</f>
        <v>15</v>
      </c>
      <c r="O315" s="42">
        <f>0.1*C315/100</f>
        <v>0.1</v>
      </c>
      <c r="P315" s="42">
        <f>0.2*C315/100</f>
        <v>0.2</v>
      </c>
      <c r="Q315" s="42">
        <v>0</v>
      </c>
      <c r="R315" s="238"/>
      <c r="S315" s="238"/>
      <c r="T315" s="69"/>
      <c r="U315" s="69"/>
      <c r="V315" s="70"/>
      <c r="W315" s="70"/>
      <c r="X315" s="71"/>
    </row>
    <row r="316" spans="1:24" s="37" customFormat="1" x14ac:dyDescent="0.2">
      <c r="A316" s="49"/>
      <c r="B316" s="132" t="s">
        <v>4</v>
      </c>
      <c r="C316" s="41"/>
      <c r="D316" s="169">
        <f t="shared" ref="D316:Q316" si="55">SUM(D313:D315)</f>
        <v>8.7399999999999984</v>
      </c>
      <c r="E316" s="169">
        <f t="shared" si="55"/>
        <v>12.4</v>
      </c>
      <c r="F316" s="169">
        <f t="shared" si="55"/>
        <v>46.08</v>
      </c>
      <c r="G316" s="169">
        <f t="shared" si="55"/>
        <v>293.72000000000003</v>
      </c>
      <c r="H316" s="169">
        <f t="shared" si="55"/>
        <v>0.09</v>
      </c>
      <c r="I316" s="169">
        <f t="shared" si="55"/>
        <v>3.835</v>
      </c>
      <c r="J316" s="169">
        <f t="shared" si="55"/>
        <v>0.04</v>
      </c>
      <c r="K316" s="169">
        <f t="shared" si="55"/>
        <v>0.40500000000000003</v>
      </c>
      <c r="L316" s="152">
        <f t="shared" si="55"/>
        <v>144.86000000000001</v>
      </c>
      <c r="M316" s="152">
        <f t="shared" si="55"/>
        <v>132.84</v>
      </c>
      <c r="N316" s="152">
        <f t="shared" si="55"/>
        <v>24.62</v>
      </c>
      <c r="O316" s="169">
        <f t="shared" si="55"/>
        <v>0.47499999999999998</v>
      </c>
      <c r="P316" s="125">
        <f t="shared" si="55"/>
        <v>0.22500000000000001</v>
      </c>
      <c r="Q316" s="168">
        <f t="shared" si="55"/>
        <v>0</v>
      </c>
      <c r="R316" s="233"/>
      <c r="S316" s="233"/>
      <c r="T316" s="72"/>
      <c r="U316" s="72"/>
      <c r="V316" s="72"/>
      <c r="W316" s="72"/>
      <c r="X316" s="72"/>
    </row>
    <row r="317" spans="1:24" s="37" customFormat="1" x14ac:dyDescent="0.2">
      <c r="A317" s="49"/>
      <c r="B317" s="132" t="s">
        <v>7</v>
      </c>
      <c r="C317" s="120"/>
      <c r="D317" s="168">
        <f t="shared" ref="D317:Q317" si="56">D300+D311+D316</f>
        <v>55.117999999999995</v>
      </c>
      <c r="E317" s="168">
        <f t="shared" si="56"/>
        <v>58.826999999999998</v>
      </c>
      <c r="F317" s="168">
        <f t="shared" si="56"/>
        <v>267.65899999999999</v>
      </c>
      <c r="G317" s="168">
        <f t="shared" si="56"/>
        <v>1789.7149999999999</v>
      </c>
      <c r="H317" s="168">
        <f t="shared" si="56"/>
        <v>1.6500000000000001</v>
      </c>
      <c r="I317" s="168">
        <f t="shared" si="56"/>
        <v>58.673000000000002</v>
      </c>
      <c r="J317" s="168">
        <f t="shared" si="56"/>
        <v>1.8599999999999999</v>
      </c>
      <c r="K317" s="168">
        <f t="shared" si="56"/>
        <v>5.6849999999999996</v>
      </c>
      <c r="L317" s="167">
        <f t="shared" si="56"/>
        <v>558.12400000000002</v>
      </c>
      <c r="M317" s="167">
        <f t="shared" si="56"/>
        <v>572.09900000000005</v>
      </c>
      <c r="N317" s="167">
        <f t="shared" si="56"/>
        <v>168.821</v>
      </c>
      <c r="O317" s="168">
        <f t="shared" si="56"/>
        <v>9.8361999999999998</v>
      </c>
      <c r="P317" s="168">
        <f t="shared" si="56"/>
        <v>1.1180000000000001</v>
      </c>
      <c r="Q317" s="168">
        <f t="shared" si="56"/>
        <v>38.58</v>
      </c>
      <c r="R317" s="233"/>
      <c r="S317" s="233"/>
      <c r="T317" s="72"/>
      <c r="U317" s="72"/>
      <c r="V317" s="72"/>
      <c r="W317" s="72"/>
      <c r="X317" s="72"/>
    </row>
    <row r="318" spans="1:24" s="37" customFormat="1" x14ac:dyDescent="0.2">
      <c r="A318" s="279" t="s">
        <v>53</v>
      </c>
      <c r="B318" s="279"/>
      <c r="C318" s="279"/>
      <c r="D318" s="279"/>
      <c r="E318" s="279"/>
      <c r="F318" s="279"/>
      <c r="G318" s="280"/>
      <c r="H318" s="280"/>
      <c r="I318" s="280"/>
      <c r="J318" s="280"/>
      <c r="K318" s="280"/>
      <c r="L318" s="280"/>
      <c r="M318" s="280"/>
      <c r="N318" s="280"/>
      <c r="O318" s="280"/>
      <c r="P318" s="280"/>
      <c r="Q318" s="280"/>
      <c r="R318" s="280"/>
      <c r="S318" s="280"/>
    </row>
    <row r="319" spans="1:24" s="37" customFormat="1" x14ac:dyDescent="0.2">
      <c r="A319" s="279" t="s">
        <v>3</v>
      </c>
      <c r="B319" s="279"/>
      <c r="C319" s="279"/>
      <c r="D319" s="279"/>
      <c r="E319" s="279"/>
      <c r="F319" s="279"/>
      <c r="G319" s="280"/>
      <c r="H319" s="280"/>
      <c r="I319" s="280"/>
      <c r="J319" s="280"/>
      <c r="K319" s="280"/>
      <c r="L319" s="280"/>
      <c r="M319" s="280"/>
      <c r="N319" s="280"/>
      <c r="O319" s="280"/>
      <c r="P319" s="280"/>
      <c r="Q319" s="280"/>
      <c r="R319" s="280"/>
      <c r="S319" s="280"/>
    </row>
    <row r="320" spans="1:24" s="64" customFormat="1" ht="19.5" customHeight="1" x14ac:dyDescent="0.3">
      <c r="A320" s="49">
        <v>1</v>
      </c>
      <c r="B320" s="47" t="s">
        <v>224</v>
      </c>
      <c r="C320" s="41">
        <v>150</v>
      </c>
      <c r="D320" s="116">
        <f>15.4*C320/100</f>
        <v>23.1</v>
      </c>
      <c r="E320" s="116">
        <f>4.1*C320/100</f>
        <v>6.15</v>
      </c>
      <c r="F320" s="116">
        <f>16.2*C320/100</f>
        <v>24.3</v>
      </c>
      <c r="G320" s="116">
        <f>142.8*C320/100</f>
        <v>214.2</v>
      </c>
      <c r="H320" s="42">
        <f>C320*0.07/100</f>
        <v>0.10500000000000002</v>
      </c>
      <c r="I320" s="42">
        <f>0.42*C320/100</f>
        <v>0.63</v>
      </c>
      <c r="J320" s="42">
        <f>C320*0.06/100</f>
        <v>0.09</v>
      </c>
      <c r="K320" s="42">
        <f>C320*0.36/100</f>
        <v>0.54</v>
      </c>
      <c r="L320" s="42">
        <f>C320*142.97/100</f>
        <v>214.45500000000001</v>
      </c>
      <c r="M320" s="42">
        <f>C320*199.59/100</f>
        <v>299.38499999999999</v>
      </c>
      <c r="N320" s="42">
        <f>C320*25.32/100</f>
        <v>37.979999999999997</v>
      </c>
      <c r="O320" s="42">
        <f>C320*0.72/100</f>
        <v>1.08</v>
      </c>
      <c r="P320" s="128">
        <f>0.24*C320/100</f>
        <v>0.36</v>
      </c>
      <c r="Q320" s="128">
        <v>22.98</v>
      </c>
      <c r="R320" s="232">
        <v>120309</v>
      </c>
      <c r="S320" s="235">
        <v>120310</v>
      </c>
    </row>
    <row r="321" spans="1:19" s="64" customFormat="1" ht="19.5" customHeight="1" x14ac:dyDescent="0.3">
      <c r="A321" s="49">
        <v>2</v>
      </c>
      <c r="B321" s="47" t="s">
        <v>141</v>
      </c>
      <c r="C321" s="41">
        <v>30</v>
      </c>
      <c r="D321" s="116">
        <f>7.5*C321/100</f>
        <v>2.25</v>
      </c>
      <c r="E321" s="116">
        <f>5*C321/100</f>
        <v>1.5</v>
      </c>
      <c r="F321" s="116">
        <f>55.2*C321/100</f>
        <v>16.559999999999999</v>
      </c>
      <c r="G321" s="116">
        <f>295*C321/100</f>
        <v>88.5</v>
      </c>
      <c r="H321" s="42">
        <f>0.06*C321/100</f>
        <v>1.7999999999999999E-2</v>
      </c>
      <c r="I321" s="42">
        <f>1*C321/100</f>
        <v>0.3</v>
      </c>
      <c r="J321" s="42">
        <f>0.04*C321/100</f>
        <v>1.2E-2</v>
      </c>
      <c r="K321" s="42">
        <f>0.2*C321/100</f>
        <v>0.06</v>
      </c>
      <c r="L321" s="42">
        <f>307*C321/100</f>
        <v>92.1</v>
      </c>
      <c r="M321" s="42">
        <f>219*C321/100</f>
        <v>65.7</v>
      </c>
      <c r="N321" s="42">
        <f>34*C321/100</f>
        <v>10.199999999999999</v>
      </c>
      <c r="O321" s="42">
        <f>0.2*C321/100</f>
        <v>0.06</v>
      </c>
      <c r="P321" s="128">
        <f>0.38*C321/100</f>
        <v>0.114</v>
      </c>
      <c r="Q321" s="128">
        <f>9*C321/100</f>
        <v>2.7</v>
      </c>
      <c r="R321" s="232">
        <v>140201</v>
      </c>
      <c r="S321" s="235"/>
    </row>
    <row r="322" spans="1:19" s="63" customFormat="1" x14ac:dyDescent="0.2">
      <c r="A322" s="49">
        <v>3</v>
      </c>
      <c r="B322" s="47" t="s">
        <v>31</v>
      </c>
      <c r="C322" s="59">
        <v>200</v>
      </c>
      <c r="D322" s="60">
        <v>0</v>
      </c>
      <c r="E322" s="60">
        <v>0</v>
      </c>
      <c r="F322" s="60">
        <f>4.99*C322/100</f>
        <v>9.98</v>
      </c>
      <c r="G322" s="42">
        <f>19.95*C322/100</f>
        <v>39.9</v>
      </c>
      <c r="H322" s="42">
        <v>0</v>
      </c>
      <c r="I322" s="42">
        <v>0</v>
      </c>
      <c r="J322" s="42">
        <v>0</v>
      </c>
      <c r="K322" s="42">
        <v>0</v>
      </c>
      <c r="L322" s="48">
        <f>8.15*C322/100</f>
        <v>16.3</v>
      </c>
      <c r="M322" s="48">
        <f>0.02*C322/100</f>
        <v>0.04</v>
      </c>
      <c r="N322" s="48">
        <f>1.79*C322/100</f>
        <v>3.58</v>
      </c>
      <c r="O322" s="42">
        <f>0.02*C322/100</f>
        <v>0.04</v>
      </c>
      <c r="P322" s="49">
        <f>0.01*C322/100</f>
        <v>0.02</v>
      </c>
      <c r="Q322" s="49">
        <v>0.48</v>
      </c>
      <c r="R322" s="233">
        <v>160105</v>
      </c>
      <c r="S322" s="233"/>
    </row>
    <row r="323" spans="1:19" s="63" customFormat="1" x14ac:dyDescent="0.2">
      <c r="A323" s="49">
        <v>4</v>
      </c>
      <c r="B323" s="47" t="s">
        <v>160</v>
      </c>
      <c r="C323" s="41">
        <v>20</v>
      </c>
      <c r="D323" s="42">
        <f>7.76*C323/100</f>
        <v>1.5519999999999998</v>
      </c>
      <c r="E323" s="42">
        <f>2.65*C323/100</f>
        <v>0.53</v>
      </c>
      <c r="F323" s="42">
        <f>53.25*C323/100</f>
        <v>10.65</v>
      </c>
      <c r="G323" s="42">
        <f>273*C323/100</f>
        <v>54.6</v>
      </c>
      <c r="H323" s="42">
        <f>0.34*C323/100</f>
        <v>6.8000000000000005E-2</v>
      </c>
      <c r="I323" s="42">
        <f>0*C323/100</f>
        <v>0</v>
      </c>
      <c r="J323" s="42">
        <v>0</v>
      </c>
      <c r="K323" s="42">
        <f>1.5*C323/100</f>
        <v>0.3</v>
      </c>
      <c r="L323" s="48">
        <f>148.1*C323/100</f>
        <v>29.62</v>
      </c>
      <c r="M323" s="48">
        <f>0*C323/100</f>
        <v>0</v>
      </c>
      <c r="N323" s="48">
        <f>16*C323/100</f>
        <v>3.2</v>
      </c>
      <c r="O323" s="42">
        <f>2.4*C323/100</f>
        <v>0.48</v>
      </c>
      <c r="P323" s="56">
        <f>0.2*C323/100</f>
        <v>0.04</v>
      </c>
      <c r="Q323" s="56">
        <f>1.5*C323/100</f>
        <v>0.3</v>
      </c>
      <c r="R323" s="233">
        <v>200102</v>
      </c>
      <c r="S323" s="233"/>
    </row>
    <row r="324" spans="1:19" s="65" customFormat="1" ht="56.25" x14ac:dyDescent="0.2">
      <c r="A324" s="49">
        <v>5</v>
      </c>
      <c r="B324" s="178" t="s">
        <v>188</v>
      </c>
      <c r="C324" s="179">
        <v>20</v>
      </c>
      <c r="D324" s="180">
        <f>26*C324/100</f>
        <v>5.2</v>
      </c>
      <c r="E324" s="180">
        <f>26.1*C324/100</f>
        <v>5.22</v>
      </c>
      <c r="F324" s="180">
        <f>0*C324/100</f>
        <v>0</v>
      </c>
      <c r="G324" s="62">
        <f>344*C324/100</f>
        <v>68.8</v>
      </c>
      <c r="H324" s="56">
        <f>0.03*C324/100</f>
        <v>6.0000000000000001E-3</v>
      </c>
      <c r="I324" s="56">
        <f>0.8*C324/100</f>
        <v>0.16</v>
      </c>
      <c r="J324" s="56">
        <f>0.23*C324/100</f>
        <v>4.6000000000000006E-2</v>
      </c>
      <c r="K324" s="56">
        <f>0.5*C324/100</f>
        <v>0.1</v>
      </c>
      <c r="L324" s="123">
        <f>1000*C324/100</f>
        <v>200</v>
      </c>
      <c r="M324" s="123">
        <f>650*C324/100</f>
        <v>130</v>
      </c>
      <c r="N324" s="123">
        <f>45*C324/100</f>
        <v>9</v>
      </c>
      <c r="O324" s="56">
        <f>0.8*C324/100</f>
        <v>0.16</v>
      </c>
      <c r="P324" s="56">
        <f>0.3*C324/100</f>
        <v>0.06</v>
      </c>
      <c r="Q324" s="56">
        <v>0</v>
      </c>
      <c r="R324" s="233">
        <v>100102</v>
      </c>
      <c r="S324" s="237"/>
    </row>
    <row r="325" spans="1:19" s="52" customFormat="1" x14ac:dyDescent="0.2">
      <c r="A325" s="49">
        <v>6</v>
      </c>
      <c r="B325" s="47" t="s">
        <v>232</v>
      </c>
      <c r="C325" s="41" t="s">
        <v>274</v>
      </c>
      <c r="D325" s="42">
        <v>0.56000000000000005</v>
      </c>
      <c r="E325" s="42">
        <v>0.56000000000000005</v>
      </c>
      <c r="F325" s="42">
        <v>13.72</v>
      </c>
      <c r="G325" s="42">
        <v>65.8</v>
      </c>
      <c r="H325" s="42">
        <v>4.2000000000000003E-2</v>
      </c>
      <c r="I325" s="42">
        <v>14</v>
      </c>
      <c r="J325" s="42">
        <v>0</v>
      </c>
      <c r="K325" s="42">
        <v>0.28000000000000003</v>
      </c>
      <c r="L325" s="48">
        <v>22.4</v>
      </c>
      <c r="M325" s="48">
        <v>15.4</v>
      </c>
      <c r="N325" s="48">
        <v>12.6</v>
      </c>
      <c r="O325" s="42">
        <v>2.8000000000000004E-3</v>
      </c>
      <c r="P325" s="56">
        <v>2.8000000000000004E-2</v>
      </c>
      <c r="Q325" s="49">
        <f>2*140/100</f>
        <v>2.8</v>
      </c>
      <c r="R325" s="233">
        <v>210110</v>
      </c>
      <c r="S325" s="233"/>
    </row>
    <row r="326" spans="1:19" s="37" customFormat="1" x14ac:dyDescent="0.2">
      <c r="A326" s="49"/>
      <c r="B326" s="132" t="s">
        <v>4</v>
      </c>
      <c r="C326" s="120"/>
      <c r="D326" s="168">
        <f t="shared" ref="D326:Q326" si="57">SUM(D320:D325)</f>
        <v>32.662000000000006</v>
      </c>
      <c r="E326" s="168">
        <f t="shared" si="57"/>
        <v>13.959999999999999</v>
      </c>
      <c r="F326" s="168">
        <f t="shared" si="57"/>
        <v>75.210000000000008</v>
      </c>
      <c r="G326" s="168">
        <f t="shared" si="57"/>
        <v>531.79999999999995</v>
      </c>
      <c r="H326" s="168">
        <f t="shared" si="57"/>
        <v>0.23900000000000005</v>
      </c>
      <c r="I326" s="168">
        <f t="shared" si="57"/>
        <v>15.09</v>
      </c>
      <c r="J326" s="168">
        <f t="shared" si="57"/>
        <v>0.14799999999999999</v>
      </c>
      <c r="K326" s="168">
        <f t="shared" si="57"/>
        <v>1.2800000000000002</v>
      </c>
      <c r="L326" s="167">
        <f t="shared" si="57"/>
        <v>574.875</v>
      </c>
      <c r="M326" s="167">
        <f t="shared" si="57"/>
        <v>510.52499999999998</v>
      </c>
      <c r="N326" s="167">
        <f t="shared" si="57"/>
        <v>76.559999999999988</v>
      </c>
      <c r="O326" s="168">
        <f t="shared" si="57"/>
        <v>1.8228</v>
      </c>
      <c r="P326" s="125">
        <f t="shared" si="57"/>
        <v>0.62200000000000011</v>
      </c>
      <c r="Q326" s="125">
        <f t="shared" si="57"/>
        <v>29.26</v>
      </c>
      <c r="R326" s="233"/>
      <c r="S326" s="233"/>
    </row>
    <row r="327" spans="1:19" s="37" customFormat="1" ht="18" x14ac:dyDescent="0.2">
      <c r="A327" s="279" t="s">
        <v>5</v>
      </c>
      <c r="B327" s="280"/>
      <c r="C327" s="280"/>
      <c r="D327" s="280"/>
      <c r="E327" s="280"/>
      <c r="F327" s="280"/>
      <c r="G327" s="280"/>
      <c r="H327" s="280"/>
      <c r="I327" s="280"/>
      <c r="J327" s="280"/>
      <c r="K327" s="280"/>
      <c r="L327" s="280"/>
      <c r="M327" s="280"/>
      <c r="N327" s="280"/>
      <c r="O327" s="280"/>
      <c r="P327" s="280"/>
      <c r="Q327" s="280"/>
      <c r="R327" s="280"/>
      <c r="S327" s="280"/>
    </row>
    <row r="328" spans="1:19" s="63" customFormat="1" ht="37.5" x14ac:dyDescent="0.2">
      <c r="A328" s="49">
        <v>1</v>
      </c>
      <c r="B328" s="47" t="s">
        <v>134</v>
      </c>
      <c r="C328" s="182">
        <v>60</v>
      </c>
      <c r="D328" s="42">
        <f>0.86*C328/100</f>
        <v>0.51600000000000001</v>
      </c>
      <c r="E328" s="42">
        <f>15.12*C328/100</f>
        <v>9.0719999999999992</v>
      </c>
      <c r="F328" s="42">
        <f>2.85*C328/100</f>
        <v>1.71</v>
      </c>
      <c r="G328" s="42">
        <f>151.88*C328/100</f>
        <v>91.127999999999986</v>
      </c>
      <c r="H328" s="94">
        <f>0.04*C328/100</f>
        <v>2.4E-2</v>
      </c>
      <c r="I328" s="94">
        <f>13.68*C328/100</f>
        <v>8.2080000000000002</v>
      </c>
      <c r="J328" s="94">
        <v>0</v>
      </c>
      <c r="K328" s="94">
        <f>2.94*C328/100</f>
        <v>1.764</v>
      </c>
      <c r="L328" s="124">
        <f>18.18*C328/100</f>
        <v>10.907999999999999</v>
      </c>
      <c r="M328" s="124">
        <f>30.17*C328/100</f>
        <v>18.102</v>
      </c>
      <c r="N328" s="124">
        <f>15.59*C328/100</f>
        <v>9.3539999999999992</v>
      </c>
      <c r="O328" s="94">
        <f>0.67*C328/100</f>
        <v>0.40200000000000002</v>
      </c>
      <c r="P328" s="49">
        <f>0.03*C328/100</f>
        <v>1.7999999999999999E-2</v>
      </c>
      <c r="Q328" s="49">
        <v>1.1299999999999999</v>
      </c>
      <c r="R328" s="233">
        <v>100505</v>
      </c>
      <c r="S328" s="233"/>
    </row>
    <row r="329" spans="1:19" s="63" customFormat="1" ht="22.5" customHeight="1" x14ac:dyDescent="0.2">
      <c r="A329" s="49">
        <v>2</v>
      </c>
      <c r="B329" s="47" t="s">
        <v>257</v>
      </c>
      <c r="C329" s="41">
        <v>250</v>
      </c>
      <c r="D329" s="42">
        <f>3.1*C329/100</f>
        <v>7.75</v>
      </c>
      <c r="E329" s="42">
        <f>5*C329/100</f>
        <v>12.5</v>
      </c>
      <c r="F329" s="42">
        <f>5.5*C329/100</f>
        <v>13.75</v>
      </c>
      <c r="G329" s="42">
        <f>79.4*C329/100</f>
        <v>198.5</v>
      </c>
      <c r="H329" s="42">
        <f>0.07*C329/100</f>
        <v>0.17499999999999999</v>
      </c>
      <c r="I329" s="42">
        <f>5.41*C329/100</f>
        <v>13.525</v>
      </c>
      <c r="J329" s="42">
        <f>0*C329/100</f>
        <v>0</v>
      </c>
      <c r="K329" s="42">
        <f>0.09*C329/100</f>
        <v>0.22500000000000001</v>
      </c>
      <c r="L329" s="48">
        <f>9.84*C329/100</f>
        <v>24.6</v>
      </c>
      <c r="M329" s="48">
        <f>62.24*C329/100</f>
        <v>155.6</v>
      </c>
      <c r="N329" s="48">
        <f>16.57*C329/100</f>
        <v>41.424999999999997</v>
      </c>
      <c r="O329" s="42">
        <f>1.88*C329/100</f>
        <v>4.7</v>
      </c>
      <c r="P329" s="49">
        <f>0.07*C329/100</f>
        <v>0.17499999999999999</v>
      </c>
      <c r="Q329" s="49">
        <v>39.43</v>
      </c>
      <c r="R329" s="233">
        <v>110311</v>
      </c>
      <c r="S329" s="233">
        <v>110312</v>
      </c>
    </row>
    <row r="330" spans="1:19" s="63" customFormat="1" x14ac:dyDescent="0.2">
      <c r="A330" s="49">
        <v>3</v>
      </c>
      <c r="B330" s="47" t="s">
        <v>190</v>
      </c>
      <c r="C330" s="41">
        <v>100</v>
      </c>
      <c r="D330" s="42">
        <f>17.83*C330/100</f>
        <v>17.829999999999998</v>
      </c>
      <c r="E330" s="42">
        <f>0.93*C330/100</f>
        <v>0.93</v>
      </c>
      <c r="F330" s="42">
        <f>0.45*C330/100</f>
        <v>0.45</v>
      </c>
      <c r="G330" s="42">
        <f>149.16*C330/100</f>
        <v>149.16</v>
      </c>
      <c r="H330" s="42">
        <f>0*C330/100</f>
        <v>0</v>
      </c>
      <c r="I330" s="42">
        <f>0.41*C330/100</f>
        <v>0.41</v>
      </c>
      <c r="J330" s="42">
        <f>0*C330/100</f>
        <v>0</v>
      </c>
      <c r="K330" s="42">
        <f>C330*0.01/100</f>
        <v>0.01</v>
      </c>
      <c r="L330" s="48">
        <f>C330*44.29/100</f>
        <v>44.29</v>
      </c>
      <c r="M330" s="48">
        <f>C330*294.74/100</f>
        <v>294.74</v>
      </c>
      <c r="N330" s="48">
        <f>C330*19.83/100</f>
        <v>19.829999999999998</v>
      </c>
      <c r="O330" s="42">
        <f>C330*0.02/100</f>
        <v>0.02</v>
      </c>
      <c r="P330" s="49">
        <f>0.14*C330/100</f>
        <v>0.14000000000000001</v>
      </c>
      <c r="Q330" s="49">
        <f>56.56*C330/100</f>
        <v>56.56</v>
      </c>
      <c r="R330" s="233">
        <v>120405</v>
      </c>
      <c r="S330" s="233"/>
    </row>
    <row r="331" spans="1:19" s="63" customFormat="1" x14ac:dyDescent="0.2">
      <c r="A331" s="49">
        <v>4</v>
      </c>
      <c r="B331" s="47" t="s">
        <v>11</v>
      </c>
      <c r="C331" s="41">
        <v>150</v>
      </c>
      <c r="D331" s="42">
        <f>1.625*C331/100</f>
        <v>2.4375</v>
      </c>
      <c r="E331" s="42">
        <f>7.125*C331/100</f>
        <v>10.6875</v>
      </c>
      <c r="F331" s="42">
        <f>9.44*C331/100</f>
        <v>14.16</v>
      </c>
      <c r="G331" s="42">
        <f>108.4*C331/100</f>
        <v>162.6</v>
      </c>
      <c r="H331" s="42">
        <f>0.13*C331/100</f>
        <v>0.19500000000000001</v>
      </c>
      <c r="I331" s="42">
        <f>18.1*C331/100</f>
        <v>27.15</v>
      </c>
      <c r="J331" s="42">
        <f>0.02*C331/100</f>
        <v>0.03</v>
      </c>
      <c r="K331" s="42">
        <f>0.13*C331/100</f>
        <v>0.19500000000000001</v>
      </c>
      <c r="L331" s="48">
        <f>8.9*C331/100</f>
        <v>13.35</v>
      </c>
      <c r="M331" s="48">
        <f>49.09*C331/100</f>
        <v>73.635000000000005</v>
      </c>
      <c r="N331" s="48">
        <f>19.09*C331/100</f>
        <v>28.635000000000002</v>
      </c>
      <c r="O331" s="42">
        <f>0.77*C331/100</f>
        <v>1.155</v>
      </c>
      <c r="P331" s="49">
        <f>0.06*C331/100</f>
        <v>0.09</v>
      </c>
      <c r="Q331" s="49">
        <v>6.27</v>
      </c>
      <c r="R331" s="233">
        <v>130101</v>
      </c>
      <c r="S331" s="233">
        <v>130102</v>
      </c>
    </row>
    <row r="332" spans="1:19" s="37" customFormat="1" x14ac:dyDescent="0.2">
      <c r="A332" s="49">
        <v>5</v>
      </c>
      <c r="B332" s="47" t="s">
        <v>132</v>
      </c>
      <c r="C332" s="41">
        <v>200</v>
      </c>
      <c r="D332" s="42">
        <f>0.09*C332/100</f>
        <v>0.18</v>
      </c>
      <c r="E332" s="42">
        <f>0.02*C332/100</f>
        <v>0.04</v>
      </c>
      <c r="F332" s="42">
        <f>9.1*C332/100</f>
        <v>18.2</v>
      </c>
      <c r="G332" s="42">
        <f>27.67*C332/100</f>
        <v>55.34</v>
      </c>
      <c r="H332" s="42">
        <f>0*C332/100</f>
        <v>0</v>
      </c>
      <c r="I332" s="42">
        <f>1.65*C332/100</f>
        <v>3.3</v>
      </c>
      <c r="J332" s="42">
        <f>0*C332/100</f>
        <v>0</v>
      </c>
      <c r="K332" s="42">
        <f>0.03*C332/100</f>
        <v>0.06</v>
      </c>
      <c r="L332" s="48">
        <f>8.28*C332/100</f>
        <v>16.559999999999999</v>
      </c>
      <c r="M332" s="48">
        <f>3.3*C332/100</f>
        <v>6.6</v>
      </c>
      <c r="N332" s="48">
        <f>3.76*C332/100</f>
        <v>7.52</v>
      </c>
      <c r="O332" s="42">
        <f>0.07*C332/100</f>
        <v>0.14000000000000001</v>
      </c>
      <c r="P332" s="62">
        <v>0</v>
      </c>
      <c r="Q332" s="62">
        <v>2.3199999999999998</v>
      </c>
      <c r="R332" s="233">
        <v>160204</v>
      </c>
      <c r="S332" s="233"/>
    </row>
    <row r="333" spans="1:19" s="63" customFormat="1" x14ac:dyDescent="0.2">
      <c r="A333" s="49">
        <v>6</v>
      </c>
      <c r="B333" s="47" t="s">
        <v>160</v>
      </c>
      <c r="C333" s="41">
        <v>40</v>
      </c>
      <c r="D333" s="42">
        <f>7.76*C333/100</f>
        <v>3.1039999999999996</v>
      </c>
      <c r="E333" s="42">
        <f>2.65*C333/100</f>
        <v>1.06</v>
      </c>
      <c r="F333" s="42">
        <f>53.25*C333/100</f>
        <v>21.3</v>
      </c>
      <c r="G333" s="42">
        <f>273*C333/100</f>
        <v>109.2</v>
      </c>
      <c r="H333" s="42">
        <f>0.34*C333/100</f>
        <v>0.13600000000000001</v>
      </c>
      <c r="I333" s="42">
        <f>0*C333/100</f>
        <v>0</v>
      </c>
      <c r="J333" s="42">
        <v>0</v>
      </c>
      <c r="K333" s="42">
        <f>1.5*C333/100</f>
        <v>0.6</v>
      </c>
      <c r="L333" s="48">
        <f>148.1*C333/100</f>
        <v>59.24</v>
      </c>
      <c r="M333" s="48">
        <f>0*C333/100</f>
        <v>0</v>
      </c>
      <c r="N333" s="48">
        <f>16*C333/100</f>
        <v>6.4</v>
      </c>
      <c r="O333" s="42">
        <f>2.4*C333/100</f>
        <v>0.96</v>
      </c>
      <c r="P333" s="56">
        <f>0.2*C333/100</f>
        <v>0.08</v>
      </c>
      <c r="Q333" s="56">
        <f>1.5*C333/100</f>
        <v>0.6</v>
      </c>
      <c r="R333" s="233">
        <v>200102</v>
      </c>
      <c r="S333" s="233"/>
    </row>
    <row r="334" spans="1:19" s="63" customFormat="1" x14ac:dyDescent="0.2">
      <c r="A334" s="49">
        <v>7</v>
      </c>
      <c r="B334" s="47" t="s">
        <v>159</v>
      </c>
      <c r="C334" s="41">
        <v>20</v>
      </c>
      <c r="D334" s="42">
        <f>5.86*C334/100</f>
        <v>1.1719999999999999</v>
      </c>
      <c r="E334" s="42">
        <f>0.94*C334/100</f>
        <v>0.18799999999999997</v>
      </c>
      <c r="F334" s="42">
        <f>44.4*C334/100</f>
        <v>8.8800000000000008</v>
      </c>
      <c r="G334" s="42">
        <f>189*C334/100</f>
        <v>37.799999999999997</v>
      </c>
      <c r="H334" s="42">
        <f>0.4*C334/100</f>
        <v>0.08</v>
      </c>
      <c r="I334" s="42">
        <f>0.03*C334/100</f>
        <v>6.0000000000000001E-3</v>
      </c>
      <c r="J334" s="42">
        <v>0</v>
      </c>
      <c r="K334" s="42">
        <f>1.7*C334/100</f>
        <v>0.34</v>
      </c>
      <c r="L334" s="48">
        <f>25.4*C334/100</f>
        <v>5.08</v>
      </c>
      <c r="M334" s="48">
        <f>105.53*C334/100</f>
        <v>21.105999999999998</v>
      </c>
      <c r="N334" s="48">
        <f>36.5*C334/100</f>
        <v>7.3</v>
      </c>
      <c r="O334" s="42">
        <f>2.45*C334/100</f>
        <v>0.49</v>
      </c>
      <c r="P334" s="56">
        <f>0.2*C334/100</f>
        <v>0.04</v>
      </c>
      <c r="Q334" s="56">
        <f>10*C334/100</f>
        <v>2</v>
      </c>
      <c r="R334" s="233">
        <v>200103</v>
      </c>
      <c r="S334" s="233"/>
    </row>
    <row r="335" spans="1:19" s="37" customFormat="1" x14ac:dyDescent="0.2">
      <c r="A335" s="49"/>
      <c r="B335" s="132" t="s">
        <v>4</v>
      </c>
      <c r="C335" s="120"/>
      <c r="D335" s="168">
        <f t="shared" ref="D335:Q335" si="58">SUM(D328:D334)</f>
        <v>32.989499999999992</v>
      </c>
      <c r="E335" s="168">
        <f t="shared" si="58"/>
        <v>34.477499999999999</v>
      </c>
      <c r="F335" s="168">
        <f t="shared" si="58"/>
        <v>78.449999999999989</v>
      </c>
      <c r="G335" s="168">
        <f t="shared" si="58"/>
        <v>803.72800000000007</v>
      </c>
      <c r="H335" s="168">
        <f t="shared" si="58"/>
        <v>0.61</v>
      </c>
      <c r="I335" s="168">
        <f t="shared" si="58"/>
        <v>52.598999999999997</v>
      </c>
      <c r="J335" s="168">
        <f t="shared" si="58"/>
        <v>0.03</v>
      </c>
      <c r="K335" s="168">
        <f t="shared" si="58"/>
        <v>3.194</v>
      </c>
      <c r="L335" s="167">
        <f t="shared" si="58"/>
        <v>174.02800000000002</v>
      </c>
      <c r="M335" s="167">
        <f t="shared" si="58"/>
        <v>569.78300000000002</v>
      </c>
      <c r="N335" s="167">
        <f t="shared" si="58"/>
        <v>120.464</v>
      </c>
      <c r="O335" s="168">
        <f t="shared" si="58"/>
        <v>7.867</v>
      </c>
      <c r="P335" s="49">
        <f t="shared" si="58"/>
        <v>0.54299999999999993</v>
      </c>
      <c r="Q335" s="49">
        <f t="shared" si="58"/>
        <v>108.30999999999999</v>
      </c>
      <c r="R335" s="233"/>
      <c r="S335" s="233"/>
    </row>
    <row r="336" spans="1:19" s="37" customFormat="1" x14ac:dyDescent="0.2">
      <c r="A336" s="299" t="s">
        <v>35</v>
      </c>
      <c r="B336" s="299"/>
      <c r="C336" s="299"/>
      <c r="D336" s="299"/>
      <c r="E336" s="299"/>
      <c r="F336" s="299"/>
      <c r="G336" s="280"/>
      <c r="H336" s="280"/>
      <c r="I336" s="280"/>
      <c r="J336" s="280"/>
      <c r="K336" s="280"/>
      <c r="L336" s="280"/>
      <c r="M336" s="280"/>
      <c r="N336" s="280"/>
      <c r="O336" s="280"/>
      <c r="P336" s="280"/>
      <c r="Q336" s="280"/>
      <c r="R336" s="280"/>
      <c r="S336" s="280"/>
    </row>
    <row r="337" spans="1:24" s="63" customFormat="1" x14ac:dyDescent="0.2">
      <c r="A337" s="49">
        <v>1</v>
      </c>
      <c r="B337" s="47" t="s">
        <v>166</v>
      </c>
      <c r="C337" s="41">
        <v>60</v>
      </c>
      <c r="D337" s="94">
        <f>13.88*C337/100</f>
        <v>8.3280000000000012</v>
      </c>
      <c r="E337" s="94">
        <f>27.39*C337/100</f>
        <v>16.434000000000001</v>
      </c>
      <c r="F337" s="94">
        <f>19.55*C337/100</f>
        <v>11.73</v>
      </c>
      <c r="G337" s="94">
        <f>325.42*C337/100</f>
        <v>195.25200000000001</v>
      </c>
      <c r="H337" s="42">
        <f>0.16*C337/100</f>
        <v>9.6000000000000002E-2</v>
      </c>
      <c r="I337" s="42">
        <f>26.32*C337/100</f>
        <v>15.792</v>
      </c>
      <c r="J337" s="42">
        <f>0.08*C337/100</f>
        <v>4.8000000000000001E-2</v>
      </c>
      <c r="K337" s="42">
        <f>0.18*C337/100</f>
        <v>0.10799999999999998</v>
      </c>
      <c r="L337" s="48">
        <f>243.83*C337/100</f>
        <v>146.298</v>
      </c>
      <c r="M337" s="48">
        <f>118.08*C337/100</f>
        <v>70.847999999999999</v>
      </c>
      <c r="N337" s="48">
        <f>14*C337/100</f>
        <v>8.4</v>
      </c>
      <c r="O337" s="42">
        <f>1.98*C337/100</f>
        <v>1.1879999999999999</v>
      </c>
      <c r="P337" s="49">
        <f>0.19*C337/100</f>
        <v>0.114</v>
      </c>
      <c r="Q337" s="49">
        <v>0</v>
      </c>
      <c r="R337" s="233">
        <v>100104</v>
      </c>
      <c r="S337" s="233"/>
    </row>
    <row r="338" spans="1:24" s="63" customFormat="1" x14ac:dyDescent="0.2">
      <c r="A338" s="49">
        <v>2</v>
      </c>
      <c r="B338" s="47" t="s">
        <v>233</v>
      </c>
      <c r="C338" s="41">
        <v>200</v>
      </c>
      <c r="D338" s="166">
        <f>0*C338/100</f>
        <v>0</v>
      </c>
      <c r="E338" s="166">
        <f>0*C338/100</f>
        <v>0</v>
      </c>
      <c r="F338" s="166">
        <f>0*C338/100</f>
        <v>0</v>
      </c>
      <c r="G338" s="166">
        <f>17*C338/100</f>
        <v>34</v>
      </c>
      <c r="H338" s="42">
        <v>0</v>
      </c>
      <c r="I338" s="42">
        <v>0</v>
      </c>
      <c r="J338" s="42">
        <v>0</v>
      </c>
      <c r="K338" s="42">
        <v>0</v>
      </c>
      <c r="L338" s="48">
        <v>4.8600000000000003</v>
      </c>
      <c r="M338" s="48">
        <v>0</v>
      </c>
      <c r="N338" s="48">
        <v>1.08</v>
      </c>
      <c r="O338" s="42">
        <v>0</v>
      </c>
      <c r="P338" s="49">
        <v>0</v>
      </c>
      <c r="Q338" s="49">
        <v>0</v>
      </c>
      <c r="R338" s="233">
        <v>160107</v>
      </c>
      <c r="S338" s="233"/>
    </row>
    <row r="339" spans="1:24" s="63" customFormat="1" x14ac:dyDescent="0.3">
      <c r="A339" s="49">
        <v>3</v>
      </c>
      <c r="B339" s="47" t="s">
        <v>140</v>
      </c>
      <c r="C339" s="41">
        <v>10</v>
      </c>
      <c r="D339" s="166">
        <f>0*C339/100</f>
        <v>0</v>
      </c>
      <c r="E339" s="166">
        <f>0*C339/100</f>
        <v>0</v>
      </c>
      <c r="F339" s="166">
        <f>99.8*C339/100</f>
        <v>9.98</v>
      </c>
      <c r="G339" s="166">
        <f>374.3*C339/100</f>
        <v>37.43</v>
      </c>
      <c r="H339" s="42">
        <v>0</v>
      </c>
      <c r="I339" s="42">
        <v>0</v>
      </c>
      <c r="J339" s="42">
        <v>0</v>
      </c>
      <c r="K339" s="42">
        <v>0</v>
      </c>
      <c r="L339" s="42">
        <v>0.2</v>
      </c>
      <c r="M339" s="42">
        <v>0</v>
      </c>
      <c r="N339" s="42">
        <v>0</v>
      </c>
      <c r="O339" s="42">
        <v>0.03</v>
      </c>
      <c r="P339" s="55">
        <v>0</v>
      </c>
      <c r="Q339" s="55">
        <v>0</v>
      </c>
      <c r="R339" s="233"/>
      <c r="S339" s="233"/>
    </row>
    <row r="340" spans="1:24" s="37" customFormat="1" x14ac:dyDescent="0.2">
      <c r="A340" s="49"/>
      <c r="B340" s="132" t="s">
        <v>4</v>
      </c>
      <c r="C340" s="120"/>
      <c r="D340" s="169">
        <f t="shared" ref="D340:Q340" si="59">SUM(D337:D339)</f>
        <v>8.3280000000000012</v>
      </c>
      <c r="E340" s="169">
        <f t="shared" si="59"/>
        <v>16.434000000000001</v>
      </c>
      <c r="F340" s="169">
        <f t="shared" si="59"/>
        <v>21.71</v>
      </c>
      <c r="G340" s="169">
        <f t="shared" si="59"/>
        <v>266.68200000000002</v>
      </c>
      <c r="H340" s="169">
        <f t="shared" si="59"/>
        <v>9.6000000000000002E-2</v>
      </c>
      <c r="I340" s="169">
        <f t="shared" si="59"/>
        <v>15.792</v>
      </c>
      <c r="J340" s="169">
        <f t="shared" si="59"/>
        <v>4.8000000000000001E-2</v>
      </c>
      <c r="K340" s="169">
        <f t="shared" si="59"/>
        <v>0.10799999999999998</v>
      </c>
      <c r="L340" s="152">
        <f t="shared" si="59"/>
        <v>151.358</v>
      </c>
      <c r="M340" s="152">
        <f t="shared" si="59"/>
        <v>70.847999999999999</v>
      </c>
      <c r="N340" s="152">
        <f t="shared" si="59"/>
        <v>9.48</v>
      </c>
      <c r="O340" s="169">
        <f t="shared" si="59"/>
        <v>1.218</v>
      </c>
      <c r="P340" s="125">
        <f t="shared" si="59"/>
        <v>0.114</v>
      </c>
      <c r="Q340" s="125">
        <f t="shared" si="59"/>
        <v>0</v>
      </c>
      <c r="R340" s="233"/>
      <c r="S340" s="233"/>
    </row>
    <row r="341" spans="1:24" s="37" customFormat="1" x14ac:dyDescent="0.2">
      <c r="A341" s="49"/>
      <c r="B341" s="132" t="s">
        <v>7</v>
      </c>
      <c r="C341" s="120"/>
      <c r="D341" s="168">
        <f>D326+D335+D340</f>
        <v>73.979500000000002</v>
      </c>
      <c r="E341" s="168">
        <f>E326+E335+E340</f>
        <v>64.871499999999997</v>
      </c>
      <c r="F341" s="168">
        <f>F326+F335+F340</f>
        <v>175.37</v>
      </c>
      <c r="G341" s="168">
        <f>G326+G335+G340</f>
        <v>1602.21</v>
      </c>
      <c r="H341" s="168">
        <v>0.67</v>
      </c>
      <c r="I341" s="168">
        <f>I326+I335+I340</f>
        <v>83.480999999999995</v>
      </c>
      <c r="J341" s="168">
        <f>J326+J335+J340</f>
        <v>0.22599999999999998</v>
      </c>
      <c r="K341" s="168">
        <f>K326+K335+K340</f>
        <v>4.5819999999999999</v>
      </c>
      <c r="L341" s="167">
        <f>L326+L335+L340</f>
        <v>900.26099999999997</v>
      </c>
      <c r="M341" s="167">
        <v>1089.93</v>
      </c>
      <c r="N341" s="167">
        <f>N326+N335+N340</f>
        <v>206.50399999999999</v>
      </c>
      <c r="O341" s="168">
        <f>O326+O335+O340</f>
        <v>10.9078</v>
      </c>
      <c r="P341" s="168">
        <f>P326+P335+P340</f>
        <v>1.2790000000000001</v>
      </c>
      <c r="Q341" s="168">
        <f>Q326+Q335+Q340</f>
        <v>137.57</v>
      </c>
      <c r="R341" s="233"/>
      <c r="S341" s="233"/>
    </row>
    <row r="342" spans="1:24" s="37" customFormat="1" x14ac:dyDescent="0.2">
      <c r="A342" s="279" t="s">
        <v>54</v>
      </c>
      <c r="B342" s="279"/>
      <c r="C342" s="279"/>
      <c r="D342" s="279"/>
      <c r="E342" s="279"/>
      <c r="F342" s="279"/>
      <c r="G342" s="280"/>
      <c r="H342" s="280"/>
      <c r="I342" s="280"/>
      <c r="J342" s="280"/>
      <c r="K342" s="280"/>
      <c r="L342" s="280"/>
      <c r="M342" s="280"/>
      <c r="N342" s="280"/>
      <c r="O342" s="280"/>
      <c r="P342" s="280"/>
      <c r="Q342" s="280"/>
      <c r="R342" s="280"/>
      <c r="S342" s="280"/>
    </row>
    <row r="343" spans="1:24" s="37" customFormat="1" x14ac:dyDescent="0.2">
      <c r="A343" s="279" t="s">
        <v>3</v>
      </c>
      <c r="B343" s="279"/>
      <c r="C343" s="279"/>
      <c r="D343" s="279"/>
      <c r="E343" s="279"/>
      <c r="F343" s="279"/>
      <c r="G343" s="280"/>
      <c r="H343" s="280"/>
      <c r="I343" s="280"/>
      <c r="J343" s="280"/>
      <c r="K343" s="280"/>
      <c r="L343" s="280"/>
      <c r="M343" s="280"/>
      <c r="N343" s="280"/>
      <c r="O343" s="280"/>
      <c r="P343" s="280"/>
      <c r="Q343" s="280"/>
      <c r="R343" s="280"/>
      <c r="S343" s="280"/>
    </row>
    <row r="344" spans="1:24" s="63" customFormat="1" ht="37.5" x14ac:dyDescent="0.2">
      <c r="A344" s="49">
        <v>1</v>
      </c>
      <c r="B344" s="47" t="s">
        <v>215</v>
      </c>
      <c r="C344" s="41">
        <v>150</v>
      </c>
      <c r="D344" s="42">
        <f>11.31*C344/100</f>
        <v>16.965</v>
      </c>
      <c r="E344" s="42">
        <f>12.08*C344/100</f>
        <v>18.12</v>
      </c>
      <c r="F344" s="42">
        <f>1.19*C344/100</f>
        <v>1.7849999999999999</v>
      </c>
      <c r="G344" s="42">
        <f>158.34*C344/100</f>
        <v>237.51</v>
      </c>
      <c r="H344" s="42">
        <f>0.04*C344/100</f>
        <v>0.06</v>
      </c>
      <c r="I344" s="42">
        <f>0.25*C344/100</f>
        <v>0.375</v>
      </c>
      <c r="J344" s="42">
        <f>0.01*C344/100</f>
        <v>1.4999999999999999E-2</v>
      </c>
      <c r="K344" s="42">
        <f>0.02*C344/100</f>
        <v>0.03</v>
      </c>
      <c r="L344" s="48">
        <f>4.64*C344/100</f>
        <v>6.96</v>
      </c>
      <c r="M344" s="48">
        <f>53.98*C344/100</f>
        <v>80.969999999999985</v>
      </c>
      <c r="N344" s="48">
        <f>7*C344/100</f>
        <v>10.5</v>
      </c>
      <c r="O344" s="42">
        <f>0.52*C344/100</f>
        <v>0.78</v>
      </c>
      <c r="P344" s="49">
        <v>0</v>
      </c>
      <c r="Q344" s="49">
        <v>3.5</v>
      </c>
      <c r="R344" s="233">
        <v>120303</v>
      </c>
      <c r="S344" s="233"/>
    </row>
    <row r="345" spans="1:24" s="63" customFormat="1" x14ac:dyDescent="0.2">
      <c r="A345" s="49">
        <v>2</v>
      </c>
      <c r="B345" s="47" t="s">
        <v>233</v>
      </c>
      <c r="C345" s="41">
        <v>200</v>
      </c>
      <c r="D345" s="166">
        <f>0*C345/100</f>
        <v>0</v>
      </c>
      <c r="E345" s="166">
        <f>0*C345/100</f>
        <v>0</v>
      </c>
      <c r="F345" s="166">
        <f>0*C345/100</f>
        <v>0</v>
      </c>
      <c r="G345" s="166">
        <f>17*C345/100</f>
        <v>34</v>
      </c>
      <c r="H345" s="42">
        <v>0</v>
      </c>
      <c r="I345" s="42">
        <v>0</v>
      </c>
      <c r="J345" s="42">
        <v>0</v>
      </c>
      <c r="K345" s="42">
        <v>0</v>
      </c>
      <c r="L345" s="48">
        <v>4.8600000000000003</v>
      </c>
      <c r="M345" s="48">
        <v>0</v>
      </c>
      <c r="N345" s="48">
        <v>1.08</v>
      </c>
      <c r="O345" s="42">
        <v>0</v>
      </c>
      <c r="P345" s="49">
        <v>0</v>
      </c>
      <c r="Q345" s="49">
        <v>0</v>
      </c>
      <c r="R345" s="233">
        <v>160107</v>
      </c>
      <c r="S345" s="233"/>
    </row>
    <row r="346" spans="1:24" s="63" customFormat="1" x14ac:dyDescent="0.3">
      <c r="A346" s="49">
        <v>3</v>
      </c>
      <c r="B346" s="47" t="s">
        <v>140</v>
      </c>
      <c r="C346" s="41">
        <v>10</v>
      </c>
      <c r="D346" s="166">
        <f>0*C346/100</f>
        <v>0</v>
      </c>
      <c r="E346" s="166">
        <f>0*C346/100</f>
        <v>0</v>
      </c>
      <c r="F346" s="166">
        <f>99.8*C346/100</f>
        <v>9.98</v>
      </c>
      <c r="G346" s="166">
        <f>374.3*C346/100</f>
        <v>37.43</v>
      </c>
      <c r="H346" s="42">
        <v>0</v>
      </c>
      <c r="I346" s="42">
        <v>0</v>
      </c>
      <c r="J346" s="42">
        <v>0</v>
      </c>
      <c r="K346" s="42">
        <v>0</v>
      </c>
      <c r="L346" s="42">
        <v>0.2</v>
      </c>
      <c r="M346" s="42">
        <v>0</v>
      </c>
      <c r="N346" s="42">
        <v>0</v>
      </c>
      <c r="O346" s="42">
        <v>0.03</v>
      </c>
      <c r="P346" s="55">
        <v>0</v>
      </c>
      <c r="Q346" s="55">
        <v>0</v>
      </c>
      <c r="R346" s="233"/>
      <c r="S346" s="233"/>
    </row>
    <row r="347" spans="1:24" s="63" customFormat="1" ht="37.5" x14ac:dyDescent="0.2">
      <c r="A347" s="49">
        <v>4</v>
      </c>
      <c r="B347" s="47" t="s">
        <v>164</v>
      </c>
      <c r="C347" s="41">
        <v>10</v>
      </c>
      <c r="D347" s="42">
        <f>0.5*C347/100</f>
        <v>0.05</v>
      </c>
      <c r="E347" s="42">
        <f>82.5*C347/100</f>
        <v>8.25</v>
      </c>
      <c r="F347" s="42">
        <f>0.8*C347/100</f>
        <v>0.08</v>
      </c>
      <c r="G347" s="42">
        <f>748*C347/100</f>
        <v>74.8</v>
      </c>
      <c r="H347" s="42">
        <v>0</v>
      </c>
      <c r="I347" s="42">
        <v>0</v>
      </c>
      <c r="J347" s="42">
        <f>0.4*C347/100</f>
        <v>0.04</v>
      </c>
      <c r="K347" s="42">
        <f>1*C347/100</f>
        <v>0.1</v>
      </c>
      <c r="L347" s="48">
        <f>12*C347/100</f>
        <v>1.2</v>
      </c>
      <c r="M347" s="48">
        <f>19*C347/100</f>
        <v>1.9</v>
      </c>
      <c r="N347" s="48">
        <f>0*C347/100</f>
        <v>0</v>
      </c>
      <c r="O347" s="42">
        <f>0.2*C347/100</f>
        <v>0.02</v>
      </c>
      <c r="P347" s="56">
        <f>0.1*C347/100</f>
        <v>0.01</v>
      </c>
      <c r="Q347" s="49">
        <v>0</v>
      </c>
      <c r="R347" s="233"/>
      <c r="S347" s="233"/>
      <c r="T347" s="73"/>
      <c r="U347" s="73"/>
      <c r="V347" s="73"/>
      <c r="W347" s="73"/>
      <c r="X347" s="73"/>
    </row>
    <row r="348" spans="1:24" s="63" customFormat="1" x14ac:dyDescent="0.2">
      <c r="A348" s="49">
        <v>5</v>
      </c>
      <c r="B348" s="47" t="s">
        <v>160</v>
      </c>
      <c r="C348" s="41">
        <v>20</v>
      </c>
      <c r="D348" s="42">
        <f>7.76*C348/100</f>
        <v>1.5519999999999998</v>
      </c>
      <c r="E348" s="42">
        <f>2.65*C348/100</f>
        <v>0.53</v>
      </c>
      <c r="F348" s="42">
        <f>53.25*C348/100</f>
        <v>10.65</v>
      </c>
      <c r="G348" s="42">
        <f>273*C348/100</f>
        <v>54.6</v>
      </c>
      <c r="H348" s="42">
        <f>0.34*C348/100</f>
        <v>6.8000000000000005E-2</v>
      </c>
      <c r="I348" s="42">
        <f>0*C348/100</f>
        <v>0</v>
      </c>
      <c r="J348" s="42">
        <v>0</v>
      </c>
      <c r="K348" s="42">
        <f>1.5*C348/100</f>
        <v>0.3</v>
      </c>
      <c r="L348" s="48">
        <f>148.1*C348/100</f>
        <v>29.62</v>
      </c>
      <c r="M348" s="48">
        <f>0*C348/100</f>
        <v>0</v>
      </c>
      <c r="N348" s="48">
        <f>16*C348/100</f>
        <v>3.2</v>
      </c>
      <c r="O348" s="42">
        <f>2.4*C348/100</f>
        <v>0.48</v>
      </c>
      <c r="P348" s="56">
        <f>0.2*C348/100</f>
        <v>0.04</v>
      </c>
      <c r="Q348" s="56">
        <f>1.5*C348/100</f>
        <v>0.3</v>
      </c>
      <c r="R348" s="233">
        <v>200102</v>
      </c>
      <c r="S348" s="233"/>
      <c r="T348" s="73"/>
      <c r="U348" s="73"/>
      <c r="V348" s="73"/>
      <c r="W348" s="73"/>
      <c r="X348" s="73"/>
    </row>
    <row r="349" spans="1:24" s="64" customFormat="1" x14ac:dyDescent="0.3">
      <c r="A349" s="49">
        <v>6</v>
      </c>
      <c r="B349" s="47" t="s">
        <v>187</v>
      </c>
      <c r="C349" s="41">
        <v>100</v>
      </c>
      <c r="D349" s="42">
        <f>5*C349/100</f>
        <v>5</v>
      </c>
      <c r="E349" s="166">
        <f>3.2*C349/100</f>
        <v>3.2</v>
      </c>
      <c r="F349" s="42">
        <f>8.5*C349/100</f>
        <v>8.5</v>
      </c>
      <c r="G349" s="166">
        <f>80.7*C349/100</f>
        <v>80.7</v>
      </c>
      <c r="H349" s="42">
        <f>0.04*C349/100</f>
        <v>0.04</v>
      </c>
      <c r="I349" s="166">
        <f>0.6*C349/100</f>
        <v>0.6</v>
      </c>
      <c r="J349" s="42">
        <f>0.03*C349/100</f>
        <v>0.03</v>
      </c>
      <c r="K349" s="166">
        <v>0</v>
      </c>
      <c r="L349" s="42">
        <f>122*C349/100</f>
        <v>122</v>
      </c>
      <c r="M349" s="42">
        <f>96*C349/100</f>
        <v>96</v>
      </c>
      <c r="N349" s="42">
        <f>15*C349/100</f>
        <v>15</v>
      </c>
      <c r="O349" s="42">
        <f>0.1*C349/100</f>
        <v>0.1</v>
      </c>
      <c r="P349" s="42">
        <f>0.2*C349/100</f>
        <v>0.2</v>
      </c>
      <c r="Q349" s="42"/>
      <c r="R349" s="238"/>
      <c r="S349" s="238"/>
      <c r="T349" s="69"/>
      <c r="U349" s="69"/>
      <c r="V349" s="70"/>
      <c r="W349" s="70"/>
      <c r="X349" s="71"/>
    </row>
    <row r="350" spans="1:24" s="37" customFormat="1" x14ac:dyDescent="0.2">
      <c r="A350" s="49"/>
      <c r="B350" s="132" t="s">
        <v>4</v>
      </c>
      <c r="C350" s="41"/>
      <c r="D350" s="169">
        <f t="shared" ref="D350:Q350" si="60">SUM(D344:D349)</f>
        <v>23.567</v>
      </c>
      <c r="E350" s="169">
        <f t="shared" si="60"/>
        <v>30.1</v>
      </c>
      <c r="F350" s="169">
        <f t="shared" si="60"/>
        <v>30.995000000000001</v>
      </c>
      <c r="G350" s="169">
        <f t="shared" si="60"/>
        <v>519.04000000000008</v>
      </c>
      <c r="H350" s="169">
        <f t="shared" si="60"/>
        <v>0.16800000000000001</v>
      </c>
      <c r="I350" s="169">
        <f t="shared" si="60"/>
        <v>0.97499999999999998</v>
      </c>
      <c r="J350" s="169">
        <f t="shared" si="60"/>
        <v>8.4999999999999992E-2</v>
      </c>
      <c r="K350" s="169">
        <f t="shared" si="60"/>
        <v>0.43</v>
      </c>
      <c r="L350" s="152">
        <f t="shared" si="60"/>
        <v>164.84</v>
      </c>
      <c r="M350" s="152">
        <f t="shared" si="60"/>
        <v>178.87</v>
      </c>
      <c r="N350" s="152">
        <f t="shared" si="60"/>
        <v>29.78</v>
      </c>
      <c r="O350" s="169">
        <f t="shared" si="60"/>
        <v>1.4100000000000001</v>
      </c>
      <c r="P350" s="49">
        <f t="shared" si="60"/>
        <v>0.25</v>
      </c>
      <c r="Q350" s="49">
        <f t="shared" si="60"/>
        <v>3.8</v>
      </c>
      <c r="R350" s="233"/>
      <c r="S350" s="233"/>
      <c r="T350" s="72"/>
      <c r="U350" s="72"/>
      <c r="V350" s="72"/>
      <c r="W350" s="72"/>
      <c r="X350" s="72"/>
    </row>
    <row r="351" spans="1:24" s="37" customFormat="1" ht="18" x14ac:dyDescent="0.2">
      <c r="A351" s="279" t="s">
        <v>5</v>
      </c>
      <c r="B351" s="280"/>
      <c r="C351" s="280"/>
      <c r="D351" s="280"/>
      <c r="E351" s="280"/>
      <c r="F351" s="280"/>
      <c r="G351" s="280"/>
      <c r="H351" s="280"/>
      <c r="I351" s="280"/>
      <c r="J351" s="280"/>
      <c r="K351" s="280"/>
      <c r="L351" s="280"/>
      <c r="M351" s="280"/>
      <c r="N351" s="280"/>
      <c r="O351" s="280"/>
      <c r="P351" s="280"/>
      <c r="Q351" s="280"/>
      <c r="R351" s="280"/>
      <c r="S351" s="280"/>
      <c r="T351" s="72"/>
      <c r="U351" s="72"/>
      <c r="V351" s="72"/>
      <c r="W351" s="72"/>
      <c r="X351" s="72"/>
    </row>
    <row r="352" spans="1:24" s="63" customFormat="1" x14ac:dyDescent="0.2">
      <c r="A352" s="49">
        <v>1</v>
      </c>
      <c r="B352" s="47" t="s">
        <v>128</v>
      </c>
      <c r="C352" s="182">
        <v>60</v>
      </c>
      <c r="D352" s="42">
        <f>3.25*C352/100</f>
        <v>1.95</v>
      </c>
      <c r="E352" s="42">
        <f>4.41*C352/100</f>
        <v>2.6460000000000004</v>
      </c>
      <c r="F352" s="42">
        <f>8.06*C352/100</f>
        <v>4.8360000000000003</v>
      </c>
      <c r="G352" s="42">
        <f>84.56*C352/100</f>
        <v>50.736000000000004</v>
      </c>
      <c r="H352" s="42">
        <f>0.02*C352/100</f>
        <v>1.2E-2</v>
      </c>
      <c r="I352" s="42">
        <f>5.94*C352/100</f>
        <v>3.5640000000000005</v>
      </c>
      <c r="J352" s="42">
        <f>0*C352/100</f>
        <v>0</v>
      </c>
      <c r="K352" s="42">
        <f>0.12*C352/100</f>
        <v>7.1999999999999995E-2</v>
      </c>
      <c r="L352" s="48">
        <f>101.08*C352/100</f>
        <v>60.648000000000003</v>
      </c>
      <c r="M352" s="48">
        <f>80.92*C352/100</f>
        <v>48.552</v>
      </c>
      <c r="N352" s="48">
        <f>21.63*C352/100</f>
        <v>12.978</v>
      </c>
      <c r="O352" s="42">
        <f>1.23*C352/100</f>
        <v>0.73799999999999999</v>
      </c>
      <c r="P352" s="49">
        <f>0.05*C352/100</f>
        <v>0.03</v>
      </c>
      <c r="Q352" s="49">
        <v>2.76</v>
      </c>
      <c r="R352" s="233">
        <v>100404</v>
      </c>
      <c r="S352" s="233"/>
      <c r="T352" s="73"/>
      <c r="U352" s="73"/>
      <c r="V352" s="73"/>
      <c r="W352" s="73"/>
      <c r="X352" s="73"/>
    </row>
    <row r="353" spans="1:24" s="64" customFormat="1" x14ac:dyDescent="0.3">
      <c r="A353" s="49">
        <v>2</v>
      </c>
      <c r="B353" s="47" t="s">
        <v>229</v>
      </c>
      <c r="C353" s="41">
        <v>250</v>
      </c>
      <c r="D353" s="42">
        <f>0.6*C353/100</f>
        <v>1.5</v>
      </c>
      <c r="E353" s="42">
        <f>1.7*C353/100</f>
        <v>4.25</v>
      </c>
      <c r="F353" s="42">
        <f>3.9*C353/100</f>
        <v>9.75</v>
      </c>
      <c r="G353" s="42">
        <f>33.3*C353/100</f>
        <v>83.25</v>
      </c>
      <c r="H353" s="42">
        <f>0.04*C353/100</f>
        <v>0.1</v>
      </c>
      <c r="I353" s="42">
        <f>4.46*C353/100</f>
        <v>11.15</v>
      </c>
      <c r="J353" s="42">
        <f>0.01*C353/100</f>
        <v>2.5000000000000001E-2</v>
      </c>
      <c r="K353" s="42">
        <f>0.17*C353/100</f>
        <v>0.42499999999999999</v>
      </c>
      <c r="L353" s="42">
        <f>15.65*C353/100</f>
        <v>39.125</v>
      </c>
      <c r="M353" s="42">
        <f>25.12*C353/100</f>
        <v>62.8</v>
      </c>
      <c r="N353" s="42">
        <f>11.62*C353/100</f>
        <v>29.05</v>
      </c>
      <c r="O353" s="42">
        <f>0.41*C353/100</f>
        <v>1.0249999999999999</v>
      </c>
      <c r="P353" s="55">
        <f>0.03*C353/100</f>
        <v>7.4999999999999997E-2</v>
      </c>
      <c r="Q353" s="55">
        <v>0</v>
      </c>
      <c r="R353" s="235">
        <v>110324</v>
      </c>
      <c r="S353" s="232">
        <v>110325</v>
      </c>
      <c r="T353" s="71"/>
      <c r="U353" s="71"/>
      <c r="V353" s="71"/>
      <c r="W353" s="71"/>
      <c r="X353" s="71"/>
    </row>
    <row r="354" spans="1:24" s="63" customFormat="1" x14ac:dyDescent="0.2">
      <c r="A354" s="49">
        <v>3</v>
      </c>
      <c r="B354" s="47" t="s">
        <v>181</v>
      </c>
      <c r="C354" s="41">
        <v>100</v>
      </c>
      <c r="D354" s="42">
        <f>13.6*C354/100</f>
        <v>13.6</v>
      </c>
      <c r="E354" s="42">
        <f>7*C354/100</f>
        <v>7</v>
      </c>
      <c r="F354" s="42">
        <f>6*C354/100</f>
        <v>6</v>
      </c>
      <c r="G354" s="42">
        <f>141.4*C354/100</f>
        <v>141.4</v>
      </c>
      <c r="H354" s="42">
        <f>0.06*C354/100</f>
        <v>0.06</v>
      </c>
      <c r="I354" s="42">
        <f>4.04*C354/100</f>
        <v>4.04</v>
      </c>
      <c r="J354" s="42">
        <f>0.03*C354/100</f>
        <v>0.03</v>
      </c>
      <c r="K354" s="42">
        <f>0.09*C354/100</f>
        <v>0.09</v>
      </c>
      <c r="L354" s="48">
        <f>22.16*C354/100</f>
        <v>22.16</v>
      </c>
      <c r="M354" s="48">
        <f>110.92*C354/100</f>
        <v>110.92</v>
      </c>
      <c r="N354" s="48">
        <f>18.49*C354/100</f>
        <v>18.489999999999998</v>
      </c>
      <c r="O354" s="42">
        <f>1.22*C354/100</f>
        <v>1.22</v>
      </c>
      <c r="P354" s="49">
        <f>0.1*C354/100</f>
        <v>0.1</v>
      </c>
      <c r="Q354" s="49">
        <v>0</v>
      </c>
      <c r="R354" s="233">
        <v>120601</v>
      </c>
      <c r="S354" s="233">
        <v>120602</v>
      </c>
    </row>
    <row r="355" spans="1:24" s="63" customFormat="1" x14ac:dyDescent="0.2">
      <c r="A355" s="49">
        <v>4</v>
      </c>
      <c r="B355" s="47" t="s">
        <v>203</v>
      </c>
      <c r="C355" s="41">
        <v>150</v>
      </c>
      <c r="D355" s="42">
        <f>2.625*C355/100</f>
        <v>3.9375</v>
      </c>
      <c r="E355" s="42">
        <f>8.225*C355/100</f>
        <v>12.3375</v>
      </c>
      <c r="F355" s="42">
        <f>25.34*C355/100</f>
        <v>38.01</v>
      </c>
      <c r="G355" s="42">
        <f>185.9*C355/100</f>
        <v>278.85000000000002</v>
      </c>
      <c r="H355" s="42">
        <f>0.02*C355/100</f>
        <v>0.03</v>
      </c>
      <c r="I355" s="42">
        <f>0*C355/100</f>
        <v>0</v>
      </c>
      <c r="J355" s="42">
        <f>0.048*C355/100</f>
        <v>7.2000000000000008E-2</v>
      </c>
      <c r="K355" s="42">
        <f>0.1*C355/100</f>
        <v>0.15</v>
      </c>
      <c r="L355" s="48">
        <f>1.38*C355/100</f>
        <v>2.0699999999999998</v>
      </c>
      <c r="M355" s="48">
        <f>40.5*C355/100</f>
        <v>60.75</v>
      </c>
      <c r="N355" s="48">
        <f>12.43*C355/100</f>
        <v>18.645</v>
      </c>
      <c r="O355" s="42">
        <f>0.35*C355/100</f>
        <v>0.52500000000000002</v>
      </c>
      <c r="P355" s="49">
        <f>0.015*C355/100</f>
        <v>2.2499999999999999E-2</v>
      </c>
      <c r="Q355" s="49">
        <v>0</v>
      </c>
      <c r="R355" s="233">
        <v>130303</v>
      </c>
      <c r="S355" s="233">
        <v>130304</v>
      </c>
    </row>
    <row r="356" spans="1:24" s="37" customFormat="1" ht="37.5" x14ac:dyDescent="0.2">
      <c r="A356" s="49">
        <v>5</v>
      </c>
      <c r="B356" s="47" t="s">
        <v>130</v>
      </c>
      <c r="C356" s="41">
        <v>200</v>
      </c>
      <c r="D356" s="42">
        <f>0.09*C356/100</f>
        <v>0.18</v>
      </c>
      <c r="E356" s="42">
        <f>0.04*C356/100</f>
        <v>0.08</v>
      </c>
      <c r="F356" s="42">
        <f>8.76*C356/100</f>
        <v>17.52</v>
      </c>
      <c r="G356" s="42">
        <f>26.45*C356/100</f>
        <v>52.9</v>
      </c>
      <c r="H356" s="42">
        <f>0.02*C356/100</f>
        <v>0.04</v>
      </c>
      <c r="I356" s="42">
        <f>52.8*C356/100</f>
        <v>105.6</v>
      </c>
      <c r="J356" s="42">
        <f>0*C356/100</f>
        <v>0</v>
      </c>
      <c r="K356" s="42">
        <v>0</v>
      </c>
      <c r="L356" s="48">
        <f>35.02*C356/100</f>
        <v>70.040000000000006</v>
      </c>
      <c r="M356" s="48">
        <v>0</v>
      </c>
      <c r="N356" s="48">
        <f>0.9*C356/100</f>
        <v>1.8</v>
      </c>
      <c r="O356" s="42">
        <f>1.07*C356/100</f>
        <v>2.14</v>
      </c>
      <c r="P356" s="62">
        <f>0.04*C356/100</f>
        <v>0.08</v>
      </c>
      <c r="Q356" s="62">
        <v>2.3199999999999998</v>
      </c>
      <c r="R356" s="233">
        <v>160205</v>
      </c>
      <c r="S356" s="233"/>
    </row>
    <row r="357" spans="1:24" s="63" customFormat="1" x14ac:dyDescent="0.2">
      <c r="A357" s="49">
        <v>6</v>
      </c>
      <c r="B357" s="47" t="s">
        <v>160</v>
      </c>
      <c r="C357" s="41">
        <v>40</v>
      </c>
      <c r="D357" s="42">
        <f>7.76*C357/100</f>
        <v>3.1039999999999996</v>
      </c>
      <c r="E357" s="42">
        <f>2.65*C357/100</f>
        <v>1.06</v>
      </c>
      <c r="F357" s="42">
        <f>53.25*C357/100</f>
        <v>21.3</v>
      </c>
      <c r="G357" s="42">
        <f>273*C357/100</f>
        <v>109.2</v>
      </c>
      <c r="H357" s="42">
        <f>0.34*C357/100</f>
        <v>0.13600000000000001</v>
      </c>
      <c r="I357" s="42">
        <f>0*C357/100</f>
        <v>0</v>
      </c>
      <c r="J357" s="42">
        <v>0</v>
      </c>
      <c r="K357" s="42">
        <f>1.5*C357/100</f>
        <v>0.6</v>
      </c>
      <c r="L357" s="48">
        <f>148.1*C357/100</f>
        <v>59.24</v>
      </c>
      <c r="M357" s="48">
        <f>0*C357/100</f>
        <v>0</v>
      </c>
      <c r="N357" s="48">
        <f>16*C357/100</f>
        <v>6.4</v>
      </c>
      <c r="O357" s="42">
        <f>2.4*C357/100</f>
        <v>0.96</v>
      </c>
      <c r="P357" s="56">
        <f>0.2*C357/100</f>
        <v>0.08</v>
      </c>
      <c r="Q357" s="56">
        <f>1.5*C357/100</f>
        <v>0.6</v>
      </c>
      <c r="R357" s="233">
        <v>200102</v>
      </c>
      <c r="S357" s="233"/>
    </row>
    <row r="358" spans="1:24" s="63" customFormat="1" x14ac:dyDescent="0.2">
      <c r="A358" s="49">
        <v>7</v>
      </c>
      <c r="B358" s="47" t="s">
        <v>159</v>
      </c>
      <c r="C358" s="41">
        <v>20</v>
      </c>
      <c r="D358" s="42">
        <f>5.86*C358/100</f>
        <v>1.1719999999999999</v>
      </c>
      <c r="E358" s="42">
        <f>0.94*C358/100</f>
        <v>0.18799999999999997</v>
      </c>
      <c r="F358" s="42">
        <f>44.4*C358/100</f>
        <v>8.8800000000000008</v>
      </c>
      <c r="G358" s="42">
        <f>189*C358/100</f>
        <v>37.799999999999997</v>
      </c>
      <c r="H358" s="42">
        <f>0.4*C358/100</f>
        <v>0.08</v>
      </c>
      <c r="I358" s="42">
        <f>0.03*C358/100</f>
        <v>6.0000000000000001E-3</v>
      </c>
      <c r="J358" s="42">
        <v>0</v>
      </c>
      <c r="K358" s="42">
        <f>1.7*C358/100</f>
        <v>0.34</v>
      </c>
      <c r="L358" s="48">
        <f>25.4*C358/100</f>
        <v>5.08</v>
      </c>
      <c r="M358" s="48">
        <f>105.53*C358/100</f>
        <v>21.105999999999998</v>
      </c>
      <c r="N358" s="48">
        <f>36.5*C358/100</f>
        <v>7.3</v>
      </c>
      <c r="O358" s="42">
        <f>2.45*C358/100</f>
        <v>0.49</v>
      </c>
      <c r="P358" s="56">
        <f>0.2*C358/100</f>
        <v>0.04</v>
      </c>
      <c r="Q358" s="56">
        <f>10*C358/100</f>
        <v>2</v>
      </c>
      <c r="R358" s="233">
        <v>200103</v>
      </c>
      <c r="S358" s="233"/>
    </row>
    <row r="359" spans="1:24" s="37" customFormat="1" ht="37.5" x14ac:dyDescent="0.2">
      <c r="A359" s="49">
        <v>8</v>
      </c>
      <c r="B359" s="47" t="s">
        <v>167</v>
      </c>
      <c r="C359" s="41">
        <v>20</v>
      </c>
      <c r="D359" s="42">
        <f>10.5*C359/100</f>
        <v>2.1</v>
      </c>
      <c r="E359" s="42">
        <f>19*C359/100</f>
        <v>3.8</v>
      </c>
      <c r="F359" s="42">
        <f>61*C359/100</f>
        <v>12.2</v>
      </c>
      <c r="G359" s="42">
        <f>457*C359/100</f>
        <v>91.4</v>
      </c>
      <c r="H359" s="42">
        <v>8.0000000000000002E-3</v>
      </c>
      <c r="I359" s="42">
        <v>0</v>
      </c>
      <c r="J359" s="42">
        <v>0</v>
      </c>
      <c r="K359" s="42">
        <v>0</v>
      </c>
      <c r="L359" s="48">
        <v>2</v>
      </c>
      <c r="M359" s="48">
        <v>6.6</v>
      </c>
      <c r="N359" s="48">
        <v>0.4</v>
      </c>
      <c r="O359" s="42">
        <v>0.12</v>
      </c>
      <c r="P359" s="49">
        <v>0.04</v>
      </c>
      <c r="Q359" s="49">
        <v>0</v>
      </c>
      <c r="R359" s="233"/>
      <c r="S359" s="233"/>
    </row>
    <row r="360" spans="1:24" s="37" customFormat="1" x14ac:dyDescent="0.2">
      <c r="A360" s="49"/>
      <c r="B360" s="132" t="s">
        <v>4</v>
      </c>
      <c r="C360" s="120"/>
      <c r="D360" s="168">
        <f t="shared" ref="D360:Q360" si="61">SUM(D352:D359)</f>
        <v>27.543500000000002</v>
      </c>
      <c r="E360" s="168">
        <f t="shared" si="61"/>
        <v>31.361499999999996</v>
      </c>
      <c r="F360" s="168">
        <f t="shared" si="61"/>
        <v>118.496</v>
      </c>
      <c r="G360" s="168">
        <f t="shared" si="61"/>
        <v>845.53599999999994</v>
      </c>
      <c r="H360" s="168">
        <f t="shared" si="61"/>
        <v>0.46600000000000003</v>
      </c>
      <c r="I360" s="168">
        <f t="shared" si="61"/>
        <v>124.36</v>
      </c>
      <c r="J360" s="168">
        <f t="shared" si="61"/>
        <v>0.127</v>
      </c>
      <c r="K360" s="168">
        <f t="shared" si="61"/>
        <v>1.677</v>
      </c>
      <c r="L360" s="167">
        <f t="shared" si="61"/>
        <v>260.363</v>
      </c>
      <c r="M360" s="167">
        <f t="shared" si="61"/>
        <v>310.72800000000001</v>
      </c>
      <c r="N360" s="167">
        <f t="shared" si="61"/>
        <v>95.063000000000002</v>
      </c>
      <c r="O360" s="168">
        <f t="shared" si="61"/>
        <v>7.218</v>
      </c>
      <c r="P360" s="49">
        <f t="shared" si="61"/>
        <v>0.46749999999999997</v>
      </c>
      <c r="Q360" s="49">
        <f t="shared" si="61"/>
        <v>7.68</v>
      </c>
      <c r="R360" s="233"/>
      <c r="S360" s="233"/>
    </row>
    <row r="361" spans="1:24" s="37" customFormat="1" x14ac:dyDescent="0.2">
      <c r="A361" s="299" t="s">
        <v>35</v>
      </c>
      <c r="B361" s="299"/>
      <c r="C361" s="299"/>
      <c r="D361" s="299"/>
      <c r="E361" s="299"/>
      <c r="F361" s="299"/>
      <c r="G361" s="280"/>
      <c r="H361" s="280"/>
      <c r="I361" s="280"/>
      <c r="J361" s="280"/>
      <c r="K361" s="280"/>
      <c r="L361" s="280"/>
      <c r="M361" s="280"/>
      <c r="N361" s="280"/>
      <c r="O361" s="280"/>
      <c r="P361" s="280"/>
      <c r="Q361" s="280"/>
      <c r="R361" s="280"/>
      <c r="S361" s="280"/>
    </row>
    <row r="362" spans="1:24" s="63" customFormat="1" x14ac:dyDescent="0.2">
      <c r="A362" s="49">
        <v>1</v>
      </c>
      <c r="B362" s="47" t="s">
        <v>148</v>
      </c>
      <c r="C362" s="41">
        <v>50</v>
      </c>
      <c r="D362" s="94">
        <f>9.1*C362/100</f>
        <v>4.55</v>
      </c>
      <c r="E362" s="94">
        <f>3.9*C362/100</f>
        <v>1.95</v>
      </c>
      <c r="F362" s="94">
        <f>45*C362/100</f>
        <v>22.5</v>
      </c>
      <c r="G362" s="94">
        <f>255.1*C362/100</f>
        <v>127.55</v>
      </c>
      <c r="H362" s="42">
        <f>0.34*C362/100</f>
        <v>0.17</v>
      </c>
      <c r="I362" s="42">
        <f>0*C362/100</f>
        <v>0</v>
      </c>
      <c r="J362" s="42">
        <v>1</v>
      </c>
      <c r="K362" s="42">
        <f>1.5*C362/100</f>
        <v>0.75</v>
      </c>
      <c r="L362" s="48">
        <f>148.1*C362/100</f>
        <v>74.05</v>
      </c>
      <c r="M362" s="48">
        <f>0*C362/100</f>
        <v>0</v>
      </c>
      <c r="N362" s="48">
        <f>16*C362/100</f>
        <v>8</v>
      </c>
      <c r="O362" s="42">
        <f>2.4*C362/100</f>
        <v>1.2</v>
      </c>
      <c r="P362" s="56">
        <f>0.2*C362/100</f>
        <v>0.1</v>
      </c>
      <c r="Q362" s="56">
        <v>0</v>
      </c>
      <c r="R362" s="233"/>
      <c r="S362" s="233">
        <v>190216</v>
      </c>
    </row>
    <row r="363" spans="1:24" s="63" customFormat="1" x14ac:dyDescent="0.2">
      <c r="A363" s="49">
        <v>2</v>
      </c>
      <c r="B363" s="47" t="s">
        <v>122</v>
      </c>
      <c r="C363" s="41">
        <v>200</v>
      </c>
      <c r="D363" s="94">
        <f>2.25*C363/100</f>
        <v>4.5</v>
      </c>
      <c r="E363" s="94">
        <f>2.24*C363/100</f>
        <v>4.4800000000000004</v>
      </c>
      <c r="F363" s="94">
        <f>10.25*C363/100</f>
        <v>20.5</v>
      </c>
      <c r="G363" s="94">
        <f>70.23*C363/100</f>
        <v>140.46</v>
      </c>
      <c r="H363" s="42">
        <f>0.13*C363/100</f>
        <v>0.26</v>
      </c>
      <c r="I363" s="42">
        <f>7*C363/100</f>
        <v>14</v>
      </c>
      <c r="J363" s="42">
        <f>0*C363/100</f>
        <v>0</v>
      </c>
      <c r="K363" s="42">
        <v>0</v>
      </c>
      <c r="L363" s="48">
        <f>1.55*C363/100</f>
        <v>3.1</v>
      </c>
      <c r="M363" s="48">
        <v>0</v>
      </c>
      <c r="N363" s="48">
        <f>0.3*C363/100</f>
        <v>0.6</v>
      </c>
      <c r="O363" s="42">
        <f>0.02*C363/100</f>
        <v>0.04</v>
      </c>
      <c r="P363" s="49">
        <v>0</v>
      </c>
      <c r="Q363" s="49">
        <v>3.58</v>
      </c>
      <c r="R363" s="233">
        <v>160104</v>
      </c>
      <c r="S363" s="233"/>
    </row>
    <row r="364" spans="1:24" s="37" customFormat="1" x14ac:dyDescent="0.2">
      <c r="A364" s="49"/>
      <c r="B364" s="151" t="s">
        <v>4</v>
      </c>
      <c r="C364" s="109"/>
      <c r="D364" s="169">
        <f t="shared" ref="D364:Q364" si="62">SUM(D362:D363)</f>
        <v>9.0500000000000007</v>
      </c>
      <c r="E364" s="169">
        <f t="shared" si="62"/>
        <v>6.4300000000000006</v>
      </c>
      <c r="F364" s="169">
        <f t="shared" si="62"/>
        <v>43</v>
      </c>
      <c r="G364" s="169">
        <f t="shared" si="62"/>
        <v>268.01</v>
      </c>
      <c r="H364" s="169">
        <f t="shared" si="62"/>
        <v>0.43000000000000005</v>
      </c>
      <c r="I364" s="169">
        <f t="shared" si="62"/>
        <v>14</v>
      </c>
      <c r="J364" s="169">
        <f t="shared" si="62"/>
        <v>1</v>
      </c>
      <c r="K364" s="169">
        <f t="shared" si="62"/>
        <v>0.75</v>
      </c>
      <c r="L364" s="152">
        <f t="shared" si="62"/>
        <v>77.149999999999991</v>
      </c>
      <c r="M364" s="152">
        <f t="shared" si="62"/>
        <v>0</v>
      </c>
      <c r="N364" s="152">
        <f t="shared" si="62"/>
        <v>8.6</v>
      </c>
      <c r="O364" s="169">
        <f t="shared" si="62"/>
        <v>1.24</v>
      </c>
      <c r="P364" s="125">
        <f t="shared" si="62"/>
        <v>0.1</v>
      </c>
      <c r="Q364" s="125">
        <f t="shared" si="62"/>
        <v>3.58</v>
      </c>
      <c r="R364" s="233"/>
      <c r="S364" s="233"/>
    </row>
    <row r="365" spans="1:24" s="37" customFormat="1" x14ac:dyDescent="0.2">
      <c r="A365" s="49"/>
      <c r="B365" s="132" t="s">
        <v>7</v>
      </c>
      <c r="C365" s="41"/>
      <c r="D365" s="168">
        <f t="shared" ref="D365:Q365" si="63">D350+D360+D364</f>
        <v>60.160499999999999</v>
      </c>
      <c r="E365" s="168">
        <f t="shared" si="63"/>
        <v>67.891500000000008</v>
      </c>
      <c r="F365" s="168">
        <f t="shared" si="63"/>
        <v>192.49099999999999</v>
      </c>
      <c r="G365" s="168">
        <f t="shared" si="63"/>
        <v>1632.586</v>
      </c>
      <c r="H365" s="168">
        <f t="shared" si="63"/>
        <v>1.0640000000000001</v>
      </c>
      <c r="I365" s="168">
        <f t="shared" si="63"/>
        <v>139.33499999999998</v>
      </c>
      <c r="J365" s="168">
        <f t="shared" si="63"/>
        <v>1.212</v>
      </c>
      <c r="K365" s="168">
        <f t="shared" si="63"/>
        <v>2.8570000000000002</v>
      </c>
      <c r="L365" s="167">
        <f t="shared" si="63"/>
        <v>502.35299999999995</v>
      </c>
      <c r="M365" s="167">
        <f t="shared" si="63"/>
        <v>489.59800000000001</v>
      </c>
      <c r="N365" s="167">
        <f t="shared" si="63"/>
        <v>133.44300000000001</v>
      </c>
      <c r="O365" s="168">
        <f t="shared" si="63"/>
        <v>9.8680000000000003</v>
      </c>
      <c r="P365" s="168">
        <f t="shared" si="63"/>
        <v>0.8175</v>
      </c>
      <c r="Q365" s="168">
        <f t="shared" si="63"/>
        <v>15.06</v>
      </c>
      <c r="R365" s="233"/>
      <c r="S365" s="233"/>
    </row>
    <row r="366" spans="1:24" s="37" customFormat="1" x14ac:dyDescent="0.2">
      <c r="A366" s="279" t="s">
        <v>55</v>
      </c>
      <c r="B366" s="279"/>
      <c r="C366" s="279"/>
      <c r="D366" s="279"/>
      <c r="E366" s="279"/>
      <c r="F366" s="279"/>
      <c r="G366" s="280"/>
      <c r="H366" s="280"/>
      <c r="I366" s="280"/>
      <c r="J366" s="280"/>
      <c r="K366" s="280"/>
      <c r="L366" s="280"/>
      <c r="M366" s="280"/>
      <c r="N366" s="280"/>
      <c r="O366" s="280"/>
      <c r="P366" s="280"/>
      <c r="Q366" s="280"/>
      <c r="R366" s="280"/>
      <c r="S366" s="280"/>
    </row>
    <row r="367" spans="1:24" s="37" customFormat="1" ht="18" x14ac:dyDescent="0.2">
      <c r="A367" s="279" t="s">
        <v>3</v>
      </c>
      <c r="B367" s="280"/>
      <c r="C367" s="280"/>
      <c r="D367" s="280"/>
      <c r="E367" s="280"/>
      <c r="F367" s="280"/>
      <c r="G367" s="280"/>
      <c r="H367" s="280"/>
      <c r="I367" s="280"/>
      <c r="J367" s="280"/>
      <c r="K367" s="280"/>
      <c r="L367" s="280"/>
      <c r="M367" s="280"/>
      <c r="N367" s="280"/>
      <c r="O367" s="280"/>
      <c r="P367" s="280"/>
      <c r="Q367" s="280"/>
      <c r="R367" s="280"/>
      <c r="S367" s="280"/>
    </row>
    <row r="368" spans="1:24" s="63" customFormat="1" ht="36" customHeight="1" x14ac:dyDescent="0.2">
      <c r="A368" s="49">
        <v>1</v>
      </c>
      <c r="B368" s="47" t="s">
        <v>265</v>
      </c>
      <c r="C368" s="41">
        <v>150</v>
      </c>
      <c r="D368" s="94">
        <f>3.2*C368/100</f>
        <v>4.8</v>
      </c>
      <c r="E368" s="94">
        <f>4.8*C368/100</f>
        <v>7.2</v>
      </c>
      <c r="F368" s="94">
        <f>15.6*C368/100</f>
        <v>23.4</v>
      </c>
      <c r="G368" s="94">
        <f>118.5*C368/100</f>
        <v>177.75</v>
      </c>
      <c r="H368" s="42">
        <f>0.19*C368/100</f>
        <v>0.28499999999999998</v>
      </c>
      <c r="I368" s="42">
        <f>13.15*C368/100</f>
        <v>19.725000000000001</v>
      </c>
      <c r="J368" s="42">
        <f>0.02*C368/100</f>
        <v>0.03</v>
      </c>
      <c r="K368" s="42">
        <f>0.06*C368/100</f>
        <v>0.09</v>
      </c>
      <c r="L368" s="48">
        <f>4.76*C368/100</f>
        <v>7.14</v>
      </c>
      <c r="M368" s="48">
        <f>38.66*C368/100</f>
        <v>57.989999999999988</v>
      </c>
      <c r="N368" s="48">
        <f>13.42*C368/100</f>
        <v>20.13</v>
      </c>
      <c r="O368" s="42">
        <f>0.39*C368/100</f>
        <v>0.58499999999999996</v>
      </c>
      <c r="P368" s="49">
        <f>0.01*C368/100</f>
        <v>1.4999999999999999E-2</v>
      </c>
      <c r="Q368" s="49">
        <v>4.46</v>
      </c>
      <c r="R368" s="233">
        <v>120211</v>
      </c>
      <c r="S368" s="233">
        <v>120212</v>
      </c>
    </row>
    <row r="369" spans="1:19" s="63" customFormat="1" x14ac:dyDescent="0.2">
      <c r="A369" s="49">
        <v>2</v>
      </c>
      <c r="B369" s="47" t="s">
        <v>163</v>
      </c>
      <c r="C369" s="41">
        <v>200</v>
      </c>
      <c r="D369" s="60">
        <f>3.05*C369/100</f>
        <v>6.1</v>
      </c>
      <c r="E369" s="60">
        <f>3.11*C369/100</f>
        <v>6.22</v>
      </c>
      <c r="F369" s="60">
        <f>9.83*C369/100</f>
        <v>19.66</v>
      </c>
      <c r="G369" s="60">
        <f>79.2*C369/100</f>
        <v>158.4</v>
      </c>
      <c r="H369" s="42">
        <f>0.26*C369/100</f>
        <v>0.52</v>
      </c>
      <c r="I369" s="42">
        <f>14.61*C369/100</f>
        <v>29.22</v>
      </c>
      <c r="J369" s="42">
        <f>0.4*C369/100</f>
        <v>0.8</v>
      </c>
      <c r="K369" s="42">
        <v>0</v>
      </c>
      <c r="L369" s="48">
        <f>24.96*C369/100</f>
        <v>49.92</v>
      </c>
      <c r="M369" s="48">
        <v>0</v>
      </c>
      <c r="N369" s="48">
        <f>0.1*C369/100</f>
        <v>0.2</v>
      </c>
      <c r="O369" s="42">
        <v>0</v>
      </c>
      <c r="P369" s="49">
        <v>0.14000000000000001</v>
      </c>
      <c r="Q369" s="49">
        <v>7.68</v>
      </c>
      <c r="R369" s="237">
        <v>160101</v>
      </c>
      <c r="S369" s="233">
        <v>160102</v>
      </c>
    </row>
    <row r="370" spans="1:19" s="63" customFormat="1" ht="31.5" x14ac:dyDescent="0.2">
      <c r="A370" s="49">
        <v>3</v>
      </c>
      <c r="B370" s="47" t="s">
        <v>223</v>
      </c>
      <c r="C370" s="41">
        <v>50</v>
      </c>
      <c r="D370" s="42">
        <f>12.6*C370/100</f>
        <v>6.3</v>
      </c>
      <c r="E370" s="42">
        <f>2.6*C370/100</f>
        <v>1.3</v>
      </c>
      <c r="F370" s="42">
        <f>45*C370/100</f>
        <v>22.5</v>
      </c>
      <c r="G370" s="42">
        <f>270.2*C370/100</f>
        <v>135.1</v>
      </c>
      <c r="H370" s="42">
        <f>0.11*C370/100</f>
        <v>5.5E-2</v>
      </c>
      <c r="I370" s="42">
        <f>2.92*C370/100</f>
        <v>1.46</v>
      </c>
      <c r="J370" s="42">
        <f>0.01*C370/100</f>
        <v>5.0000000000000001E-3</v>
      </c>
      <c r="K370" s="42">
        <f>1.72*C370/100</f>
        <v>0.86</v>
      </c>
      <c r="L370" s="48">
        <f>26*C370/100</f>
        <v>13</v>
      </c>
      <c r="M370" s="48">
        <f>50.29*C370/100</f>
        <v>25.145</v>
      </c>
      <c r="N370" s="48">
        <f>14.15*C370/100</f>
        <v>7.0750000000000002</v>
      </c>
      <c r="O370" s="42">
        <f>0.82*C370/100</f>
        <v>0.41</v>
      </c>
      <c r="P370" s="56">
        <f>0.05*C370/100</f>
        <v>2.5000000000000001E-2</v>
      </c>
      <c r="Q370" s="56">
        <v>2.1</v>
      </c>
      <c r="R370" s="231" t="s">
        <v>250</v>
      </c>
      <c r="S370" s="233">
        <v>190212</v>
      </c>
    </row>
    <row r="371" spans="1:19" s="64" customFormat="1" ht="18.75" customHeight="1" x14ac:dyDescent="0.3">
      <c r="A371" s="49">
        <v>4</v>
      </c>
      <c r="B371" s="47" t="s">
        <v>232</v>
      </c>
      <c r="C371" s="41" t="s">
        <v>274</v>
      </c>
      <c r="D371" s="42">
        <v>0.6</v>
      </c>
      <c r="E371" s="42">
        <v>0.45</v>
      </c>
      <c r="F371" s="42">
        <v>15.45</v>
      </c>
      <c r="G371" s="42">
        <v>70.5</v>
      </c>
      <c r="H371" s="42">
        <v>0.03</v>
      </c>
      <c r="I371" s="42">
        <v>7.5</v>
      </c>
      <c r="J371" s="42">
        <v>0</v>
      </c>
      <c r="K371" s="42">
        <v>0.6</v>
      </c>
      <c r="L371" s="42">
        <v>28.5</v>
      </c>
      <c r="M371" s="42">
        <v>24</v>
      </c>
      <c r="N371" s="42">
        <v>18</v>
      </c>
      <c r="O371" s="42">
        <v>3.0000000000000001E-3</v>
      </c>
      <c r="P371" s="55">
        <v>4.4999999999999998E-2</v>
      </c>
      <c r="Q371" s="55">
        <v>1.4</v>
      </c>
      <c r="R371" s="235">
        <v>210104</v>
      </c>
      <c r="S371" s="235"/>
    </row>
    <row r="372" spans="1:19" s="37" customFormat="1" x14ac:dyDescent="0.2">
      <c r="A372" s="49"/>
      <c r="B372" s="132" t="s">
        <v>4</v>
      </c>
      <c r="C372" s="120"/>
      <c r="D372" s="169">
        <f t="shared" ref="D372:Q372" si="64">SUM(D368:D371)</f>
        <v>17.8</v>
      </c>
      <c r="E372" s="169">
        <f t="shared" si="64"/>
        <v>15.17</v>
      </c>
      <c r="F372" s="169">
        <f t="shared" si="64"/>
        <v>81.010000000000005</v>
      </c>
      <c r="G372" s="169">
        <f t="shared" si="64"/>
        <v>541.75</v>
      </c>
      <c r="H372" s="169">
        <f t="shared" si="64"/>
        <v>0.89</v>
      </c>
      <c r="I372" s="169">
        <f t="shared" si="64"/>
        <v>57.905000000000001</v>
      </c>
      <c r="J372" s="169">
        <f t="shared" si="64"/>
        <v>0.83500000000000008</v>
      </c>
      <c r="K372" s="169">
        <f t="shared" si="64"/>
        <v>1.5499999999999998</v>
      </c>
      <c r="L372" s="152">
        <f t="shared" si="64"/>
        <v>98.56</v>
      </c>
      <c r="M372" s="152">
        <f t="shared" si="64"/>
        <v>107.13499999999999</v>
      </c>
      <c r="N372" s="152">
        <f t="shared" si="64"/>
        <v>45.405000000000001</v>
      </c>
      <c r="O372" s="169">
        <f t="shared" si="64"/>
        <v>0.99799999999999989</v>
      </c>
      <c r="P372" s="125">
        <f t="shared" si="64"/>
        <v>0.22500000000000003</v>
      </c>
      <c r="Q372" s="125">
        <f t="shared" si="64"/>
        <v>15.64</v>
      </c>
      <c r="R372" s="233"/>
      <c r="S372" s="233"/>
    </row>
    <row r="373" spans="1:19" s="37" customFormat="1" ht="18" x14ac:dyDescent="0.2">
      <c r="A373" s="279" t="s">
        <v>5</v>
      </c>
      <c r="B373" s="280"/>
      <c r="C373" s="280"/>
      <c r="D373" s="280"/>
      <c r="E373" s="280"/>
      <c r="F373" s="280"/>
      <c r="G373" s="280"/>
      <c r="H373" s="280"/>
      <c r="I373" s="280"/>
      <c r="J373" s="280"/>
      <c r="K373" s="280"/>
      <c r="L373" s="280"/>
      <c r="M373" s="280"/>
      <c r="N373" s="280"/>
      <c r="O373" s="280"/>
      <c r="P373" s="280"/>
      <c r="Q373" s="280"/>
      <c r="R373" s="280"/>
      <c r="S373" s="280"/>
    </row>
    <row r="374" spans="1:19" s="63" customFormat="1" ht="37.5" x14ac:dyDescent="0.2">
      <c r="A374" s="49">
        <v>1</v>
      </c>
      <c r="B374" s="47" t="s">
        <v>205</v>
      </c>
      <c r="C374" s="182">
        <v>60</v>
      </c>
      <c r="D374" s="42">
        <f>1.13*C374/100</f>
        <v>0.67799999999999994</v>
      </c>
      <c r="E374" s="42">
        <f>10.27*C374/100</f>
        <v>6.161999999999999</v>
      </c>
      <c r="F374" s="42">
        <f>9.19*C374/100</f>
        <v>5.5139999999999993</v>
      </c>
      <c r="G374" s="42">
        <f>134.57*C374/100</f>
        <v>80.742000000000004</v>
      </c>
      <c r="H374" s="94">
        <f>0.07*C374/100</f>
        <v>4.2000000000000003E-2</v>
      </c>
      <c r="I374" s="94">
        <f>59.26*C374/100</f>
        <v>35.555999999999997</v>
      </c>
      <c r="J374" s="94">
        <v>0</v>
      </c>
      <c r="K374" s="94">
        <f>1.85*C374/100</f>
        <v>1.1100000000000001</v>
      </c>
      <c r="L374" s="124">
        <f>74.84*C374/100</f>
        <v>44.904000000000003</v>
      </c>
      <c r="M374" s="124">
        <f>45.35*C374/100</f>
        <v>27.21</v>
      </c>
      <c r="N374" s="124">
        <f>22.58*C374/100</f>
        <v>13.548</v>
      </c>
      <c r="O374" s="94">
        <f>0.85*C374/100</f>
        <v>0.51</v>
      </c>
      <c r="P374" s="49">
        <f>0.07*C374/100</f>
        <v>4.2000000000000003E-2</v>
      </c>
      <c r="Q374" s="49">
        <v>1.1299999999999999</v>
      </c>
      <c r="R374" s="233">
        <v>100203</v>
      </c>
      <c r="S374" s="233"/>
    </row>
    <row r="375" spans="1:19" s="63" customFormat="1" x14ac:dyDescent="0.2">
      <c r="A375" s="49">
        <v>2</v>
      </c>
      <c r="B375" s="47" t="s">
        <v>173</v>
      </c>
      <c r="C375" s="41">
        <v>250</v>
      </c>
      <c r="D375" s="42">
        <f>2.9*C375/100</f>
        <v>7.25</v>
      </c>
      <c r="E375" s="42">
        <f>2.9*C375/100</f>
        <v>7.25</v>
      </c>
      <c r="F375" s="42">
        <f>0.34*C375/100</f>
        <v>0.85</v>
      </c>
      <c r="G375" s="42">
        <f>39.1*C375/100</f>
        <v>97.75</v>
      </c>
      <c r="H375" s="42">
        <f>0.04*C375/100</f>
        <v>0.1</v>
      </c>
      <c r="I375" s="42">
        <f>0.71*C375/100</f>
        <v>1.7749999999999999</v>
      </c>
      <c r="J375" s="42">
        <f>0.02*C375/100</f>
        <v>0.05</v>
      </c>
      <c r="K375" s="42">
        <f>0.15*C375/100</f>
        <v>0.375</v>
      </c>
      <c r="L375" s="48">
        <f>25.76*C375/100</f>
        <v>64.400000000000006</v>
      </c>
      <c r="M375" s="48">
        <f>49.97*C375/100</f>
        <v>124.925</v>
      </c>
      <c r="N375" s="48">
        <f>8.11*C375/100</f>
        <v>20.274999999999999</v>
      </c>
      <c r="O375" s="42">
        <f>0.33*C375/100</f>
        <v>0.82499999999999996</v>
      </c>
      <c r="P375" s="49">
        <f>0.05*C375/100</f>
        <v>0.125</v>
      </c>
      <c r="Q375" s="49">
        <f>3.6*C375/100</f>
        <v>9</v>
      </c>
      <c r="R375" s="233">
        <v>110407</v>
      </c>
      <c r="S375" s="236">
        <v>110408</v>
      </c>
    </row>
    <row r="376" spans="1:19" s="63" customFormat="1" x14ac:dyDescent="0.2">
      <c r="A376" s="49">
        <v>3</v>
      </c>
      <c r="B376" s="47" t="s">
        <v>124</v>
      </c>
      <c r="C376" s="41">
        <v>10</v>
      </c>
      <c r="D376" s="42">
        <f>11.1*C376/100</f>
        <v>1.1100000000000001</v>
      </c>
      <c r="E376" s="42">
        <f>3.79*C376/100</f>
        <v>0.379</v>
      </c>
      <c r="F376" s="42">
        <f>76.15*C376/100</f>
        <v>7.6150000000000002</v>
      </c>
      <c r="G376" s="42">
        <f>390.39*C376/100</f>
        <v>39.038999999999994</v>
      </c>
      <c r="H376" s="42">
        <f>0.61*C376/100</f>
        <v>6.0999999999999999E-2</v>
      </c>
      <c r="I376" s="42">
        <f>0*C376/100</f>
        <v>0</v>
      </c>
      <c r="J376" s="42">
        <f>0*C376/100</f>
        <v>0</v>
      </c>
      <c r="K376" s="42">
        <f>0*C376/100</f>
        <v>0</v>
      </c>
      <c r="L376" s="48">
        <f>211.78*C376/100</f>
        <v>21.178000000000001</v>
      </c>
      <c r="M376" s="48">
        <f>0.25*C376/100</f>
        <v>2.5000000000000001E-2</v>
      </c>
      <c r="N376" s="48">
        <f>22.8*C376/100</f>
        <v>2.2799999999999998</v>
      </c>
      <c r="O376" s="42">
        <f>0.002*C376/100</f>
        <v>2.0000000000000001E-4</v>
      </c>
      <c r="P376" s="49">
        <f>0.44*C376/100</f>
        <v>4.4000000000000004E-2</v>
      </c>
      <c r="Q376" s="49">
        <v>0</v>
      </c>
      <c r="R376" s="233">
        <v>180601</v>
      </c>
      <c r="S376" s="233"/>
    </row>
    <row r="377" spans="1:19" s="63" customFormat="1" x14ac:dyDescent="0.2">
      <c r="A377" s="49">
        <v>4</v>
      </c>
      <c r="B377" s="47" t="s">
        <v>176</v>
      </c>
      <c r="C377" s="41">
        <v>100</v>
      </c>
      <c r="D377" s="42">
        <f>13.9*C377/100</f>
        <v>13.9</v>
      </c>
      <c r="E377" s="42">
        <f>7*C377/100</f>
        <v>7</v>
      </c>
      <c r="F377" s="42">
        <f>4.9*C377/100</f>
        <v>4.9000000000000004</v>
      </c>
      <c r="G377" s="42">
        <f>138.2*C377/100</f>
        <v>138.19999999999999</v>
      </c>
      <c r="H377" s="94">
        <f>0.1*C377/100</f>
        <v>0.1</v>
      </c>
      <c r="I377" s="94">
        <f>1.31*C377/100</f>
        <v>1.31</v>
      </c>
      <c r="J377" s="94">
        <v>0</v>
      </c>
      <c r="K377" s="94">
        <f>2.34*C377/100</f>
        <v>2.34</v>
      </c>
      <c r="L377" s="124">
        <f>29.43*C377/100</f>
        <v>29.43</v>
      </c>
      <c r="M377" s="124">
        <f>196.38*C377/100</f>
        <v>196.38</v>
      </c>
      <c r="N377" s="124">
        <f>31.5*C377/100</f>
        <v>31.5</v>
      </c>
      <c r="O377" s="94">
        <f>2.71*C377/100</f>
        <v>2.71</v>
      </c>
      <c r="P377" s="49">
        <f>0.19*C377/100</f>
        <v>0.19</v>
      </c>
      <c r="Q377" s="124">
        <f>38.15*E377/100</f>
        <v>2.6705000000000001</v>
      </c>
      <c r="R377" s="233">
        <v>120503</v>
      </c>
      <c r="S377" s="241">
        <v>120504</v>
      </c>
    </row>
    <row r="378" spans="1:19" s="63" customFormat="1" x14ac:dyDescent="0.2">
      <c r="A378" s="49">
        <v>5</v>
      </c>
      <c r="B378" s="47" t="s">
        <v>113</v>
      </c>
      <c r="C378" s="41">
        <v>150</v>
      </c>
      <c r="D378" s="42">
        <f>3.22*C378/100</f>
        <v>4.830000000000001</v>
      </c>
      <c r="E378" s="42">
        <f>4.825*C378/100</f>
        <v>7.2374999999999998</v>
      </c>
      <c r="F378" s="42">
        <f>21.9*C378/100</f>
        <v>32.85</v>
      </c>
      <c r="G378" s="42">
        <f>140.5*C378/100</f>
        <v>210.75</v>
      </c>
      <c r="H378" s="42">
        <f>0.14*C378/100</f>
        <v>0.21000000000000005</v>
      </c>
      <c r="I378" s="42">
        <f>0*C378/100</f>
        <v>0</v>
      </c>
      <c r="J378" s="42">
        <f>0.02*C378/100</f>
        <v>0.03</v>
      </c>
      <c r="K378" s="42">
        <f>0.05*C378/100</f>
        <v>7.4999999999999997E-2</v>
      </c>
      <c r="L378" s="48">
        <f>12.38*C378/100</f>
        <v>18.570000000000004</v>
      </c>
      <c r="M378" s="48">
        <f>132.35*C378/100</f>
        <v>198.52500000000001</v>
      </c>
      <c r="N378" s="48">
        <f>88.86*C378/100</f>
        <v>133.29</v>
      </c>
      <c r="O378" s="42">
        <f>2.97*C378/100</f>
        <v>4.455000000000001</v>
      </c>
      <c r="P378" s="49">
        <f>0.075*C378/100</f>
        <v>0.1125</v>
      </c>
      <c r="Q378" s="49">
        <f>0.34*C378/100</f>
        <v>0.51000000000000012</v>
      </c>
      <c r="R378" s="233">
        <v>130309</v>
      </c>
      <c r="S378" s="233">
        <v>130310</v>
      </c>
    </row>
    <row r="379" spans="1:19" s="37" customFormat="1" x14ac:dyDescent="0.2">
      <c r="A379" s="49">
        <v>6</v>
      </c>
      <c r="B379" s="47" t="s">
        <v>123</v>
      </c>
      <c r="C379" s="41">
        <v>200</v>
      </c>
      <c r="D379" s="42">
        <f>0.06*C379/100</f>
        <v>0.12</v>
      </c>
      <c r="E379" s="42">
        <f>0.02*C379/100</f>
        <v>0.04</v>
      </c>
      <c r="F379" s="42">
        <f>8.35*C379/100</f>
        <v>16.7</v>
      </c>
      <c r="G379" s="42">
        <f>25.02*C379/100</f>
        <v>50.04</v>
      </c>
      <c r="H379" s="42">
        <f>0*C379/100</f>
        <v>0</v>
      </c>
      <c r="I379" s="42">
        <f>1.65*C379/100</f>
        <v>3.3</v>
      </c>
      <c r="J379" s="42">
        <f>0*C379/100</f>
        <v>0</v>
      </c>
      <c r="K379" s="42">
        <v>0</v>
      </c>
      <c r="L379" s="48">
        <f>5.76*C379/100</f>
        <v>11.52</v>
      </c>
      <c r="M379" s="48">
        <f>1.21*C379/100</f>
        <v>2.42</v>
      </c>
      <c r="N379" s="48">
        <f>2.55*C379/100</f>
        <v>5.0999999999999996</v>
      </c>
      <c r="O379" s="42">
        <f>0.08*C379/100</f>
        <v>0.16</v>
      </c>
      <c r="P379" s="62">
        <v>0</v>
      </c>
      <c r="Q379" s="62">
        <v>2.3199999999999998</v>
      </c>
      <c r="R379" s="233">
        <v>160206</v>
      </c>
      <c r="S379" s="233"/>
    </row>
    <row r="380" spans="1:19" s="63" customFormat="1" x14ac:dyDescent="0.2">
      <c r="A380" s="49">
        <v>7</v>
      </c>
      <c r="B380" s="47" t="s">
        <v>160</v>
      </c>
      <c r="C380" s="41">
        <v>40</v>
      </c>
      <c r="D380" s="42">
        <f>7.76*C380/100</f>
        <v>3.1039999999999996</v>
      </c>
      <c r="E380" s="42">
        <f>2.65*C380/100</f>
        <v>1.06</v>
      </c>
      <c r="F380" s="42">
        <f>53.25*C380/100</f>
        <v>21.3</v>
      </c>
      <c r="G380" s="42">
        <f>273*C380/100</f>
        <v>109.2</v>
      </c>
      <c r="H380" s="42">
        <f>0.34*C380/100</f>
        <v>0.13600000000000001</v>
      </c>
      <c r="I380" s="42">
        <f>0*C380/100</f>
        <v>0</v>
      </c>
      <c r="J380" s="42">
        <v>0</v>
      </c>
      <c r="K380" s="42">
        <f>1.5*C380/100</f>
        <v>0.6</v>
      </c>
      <c r="L380" s="48">
        <f>148.1*C380/100</f>
        <v>59.24</v>
      </c>
      <c r="M380" s="48">
        <f>0*C380/100</f>
        <v>0</v>
      </c>
      <c r="N380" s="48">
        <f>16*C380/100</f>
        <v>6.4</v>
      </c>
      <c r="O380" s="42">
        <f>2.4*C380/100</f>
        <v>0.96</v>
      </c>
      <c r="P380" s="56">
        <f>0.2*C380/100</f>
        <v>0.08</v>
      </c>
      <c r="Q380" s="56">
        <f>1.5*C380/100</f>
        <v>0.6</v>
      </c>
      <c r="R380" s="233">
        <v>200102</v>
      </c>
      <c r="S380" s="233"/>
    </row>
    <row r="381" spans="1:19" s="63" customFormat="1" x14ac:dyDescent="0.2">
      <c r="A381" s="49">
        <v>8</v>
      </c>
      <c r="B381" s="47" t="s">
        <v>159</v>
      </c>
      <c r="C381" s="41">
        <v>20</v>
      </c>
      <c r="D381" s="42">
        <f>5.86*C381/100</f>
        <v>1.1719999999999999</v>
      </c>
      <c r="E381" s="42">
        <f>0.94*C381/100</f>
        <v>0.18799999999999997</v>
      </c>
      <c r="F381" s="42">
        <f>44.4*C381/100</f>
        <v>8.8800000000000008</v>
      </c>
      <c r="G381" s="42">
        <f>189*C381/100</f>
        <v>37.799999999999997</v>
      </c>
      <c r="H381" s="42">
        <f>0.4*C381/100</f>
        <v>0.08</v>
      </c>
      <c r="I381" s="42">
        <f>0.03*C381/100</f>
        <v>6.0000000000000001E-3</v>
      </c>
      <c r="J381" s="42">
        <v>0</v>
      </c>
      <c r="K381" s="42">
        <f>1.7*C381/100</f>
        <v>0.34</v>
      </c>
      <c r="L381" s="48">
        <f>25.4*C381/100</f>
        <v>5.08</v>
      </c>
      <c r="M381" s="48">
        <f>105.53*C381/100</f>
        <v>21.105999999999998</v>
      </c>
      <c r="N381" s="48">
        <f>36.5*C381/100</f>
        <v>7.3</v>
      </c>
      <c r="O381" s="42">
        <f>2.45*C381/100</f>
        <v>0.49</v>
      </c>
      <c r="P381" s="56">
        <f>0.2*C381/100</f>
        <v>0.04</v>
      </c>
      <c r="Q381" s="56">
        <f>10*C381/100</f>
        <v>2</v>
      </c>
      <c r="R381" s="233">
        <v>200103</v>
      </c>
      <c r="S381" s="233"/>
    </row>
    <row r="382" spans="1:19" s="37" customFormat="1" x14ac:dyDescent="0.2">
      <c r="A382" s="49"/>
      <c r="B382" s="132" t="s">
        <v>4</v>
      </c>
      <c r="C382" s="120"/>
      <c r="D382" s="168">
        <f t="shared" ref="D382:Q382" si="65">SUM(D374:D381)</f>
        <v>32.164000000000001</v>
      </c>
      <c r="E382" s="168">
        <f t="shared" si="65"/>
        <v>29.316499999999994</v>
      </c>
      <c r="F382" s="168">
        <f t="shared" si="65"/>
        <v>98.608999999999995</v>
      </c>
      <c r="G382" s="168">
        <f t="shared" si="65"/>
        <v>763.52099999999996</v>
      </c>
      <c r="H382" s="168">
        <f t="shared" si="65"/>
        <v>0.72900000000000009</v>
      </c>
      <c r="I382" s="168">
        <f t="shared" si="65"/>
        <v>41.946999999999996</v>
      </c>
      <c r="J382" s="168">
        <f t="shared" si="65"/>
        <v>0.08</v>
      </c>
      <c r="K382" s="168">
        <f t="shared" si="65"/>
        <v>4.84</v>
      </c>
      <c r="L382" s="167">
        <f t="shared" si="65"/>
        <v>254.32200000000003</v>
      </c>
      <c r="M382" s="167">
        <f t="shared" si="65"/>
        <v>570.59099999999989</v>
      </c>
      <c r="N382" s="167">
        <f t="shared" si="65"/>
        <v>219.69300000000001</v>
      </c>
      <c r="O382" s="168">
        <f t="shared" si="65"/>
        <v>10.110200000000001</v>
      </c>
      <c r="P382" s="125">
        <f t="shared" si="65"/>
        <v>0.63350000000000006</v>
      </c>
      <c r="Q382" s="167">
        <f t="shared" si="65"/>
        <v>18.230499999999999</v>
      </c>
      <c r="R382" s="233"/>
      <c r="S382" s="233"/>
    </row>
    <row r="383" spans="1:19" s="37" customFormat="1" ht="18" x14ac:dyDescent="0.2">
      <c r="A383" s="279" t="s">
        <v>35</v>
      </c>
      <c r="B383" s="280"/>
      <c r="C383" s="280"/>
      <c r="D383" s="280"/>
      <c r="E383" s="280"/>
      <c r="F383" s="280"/>
      <c r="G383" s="280"/>
      <c r="H383" s="280"/>
      <c r="I383" s="280"/>
      <c r="J383" s="280"/>
      <c r="K383" s="280"/>
      <c r="L383" s="280"/>
      <c r="M383" s="280"/>
      <c r="N383" s="280"/>
      <c r="O383" s="280"/>
      <c r="P383" s="280"/>
      <c r="Q383" s="280"/>
      <c r="R383" s="280"/>
      <c r="S383" s="280"/>
    </row>
    <row r="384" spans="1:19" s="37" customFormat="1" x14ac:dyDescent="0.2">
      <c r="A384" s="49">
        <v>1</v>
      </c>
      <c r="B384" s="47" t="s">
        <v>145</v>
      </c>
      <c r="C384" s="41">
        <v>200</v>
      </c>
      <c r="D384" s="94">
        <f>2.8*C384/100</f>
        <v>5.6</v>
      </c>
      <c r="E384" s="94">
        <f>2.9*C384/100</f>
        <v>5.8</v>
      </c>
      <c r="F384" s="94">
        <f>10.5*C384/100</f>
        <v>21</v>
      </c>
      <c r="G384" s="94">
        <f>79.3*C384/100</f>
        <v>158.6</v>
      </c>
      <c r="H384" s="42">
        <f>0.04*C384/100</f>
        <v>0.08</v>
      </c>
      <c r="I384" s="42">
        <f>0.6*C384/100</f>
        <v>1.2</v>
      </c>
      <c r="J384" s="42">
        <f>0.03*C384/100</f>
        <v>0.06</v>
      </c>
      <c r="K384" s="42">
        <f>0*C384/100</f>
        <v>0</v>
      </c>
      <c r="L384" s="48">
        <f>122*C384/100</f>
        <v>244</v>
      </c>
      <c r="M384" s="48">
        <f>96*C384/100</f>
        <v>192</v>
      </c>
      <c r="N384" s="48">
        <f>15*C384/100</f>
        <v>30</v>
      </c>
      <c r="O384" s="42">
        <f>0.09*C384/100</f>
        <v>0.18</v>
      </c>
      <c r="P384" s="49">
        <v>0.2</v>
      </c>
      <c r="Q384" s="49">
        <v>9</v>
      </c>
      <c r="R384" s="233"/>
      <c r="S384" s="233"/>
    </row>
    <row r="385" spans="1:19" s="63" customFormat="1" x14ac:dyDescent="0.2">
      <c r="A385" s="49">
        <v>2</v>
      </c>
      <c r="B385" s="47" t="s">
        <v>259</v>
      </c>
      <c r="C385" s="41">
        <v>50</v>
      </c>
      <c r="D385" s="94">
        <f>11.4*C385/100</f>
        <v>5.7</v>
      </c>
      <c r="E385" s="94">
        <f>6.2*C385/100</f>
        <v>3.1</v>
      </c>
      <c r="F385" s="94">
        <f>54.8*C385/100</f>
        <v>27.4</v>
      </c>
      <c r="G385" s="94">
        <f>321*C385/100</f>
        <v>160.5</v>
      </c>
      <c r="H385" s="42">
        <f>0.17*C385/100</f>
        <v>8.5000000000000006E-2</v>
      </c>
      <c r="I385" s="42">
        <f>3.2*C385/100</f>
        <v>1.6</v>
      </c>
      <c r="J385" s="42">
        <f>0.02*C385/100</f>
        <v>0.01</v>
      </c>
      <c r="K385" s="42">
        <f>1*C385/100</f>
        <v>0.5</v>
      </c>
      <c r="L385" s="48">
        <f>12.46*C385/100</f>
        <v>6.23</v>
      </c>
      <c r="M385" s="48">
        <f>55.81*C385/100</f>
        <v>27.905000000000001</v>
      </c>
      <c r="N385" s="48">
        <f>10.75*C385/100</f>
        <v>5.375</v>
      </c>
      <c r="O385" s="42">
        <f>0.82*C385/100</f>
        <v>0.41</v>
      </c>
      <c r="P385" s="49">
        <f>0.04*C385/100</f>
        <v>0.02</v>
      </c>
      <c r="Q385" s="49">
        <v>0.87</v>
      </c>
      <c r="R385" s="233">
        <v>190102</v>
      </c>
      <c r="S385" s="233">
        <v>190103</v>
      </c>
    </row>
    <row r="386" spans="1:19" s="37" customFormat="1" x14ac:dyDescent="0.2">
      <c r="A386" s="49"/>
      <c r="B386" s="132" t="s">
        <v>4</v>
      </c>
      <c r="C386" s="120"/>
      <c r="D386" s="169">
        <f t="shared" ref="D386:Q386" si="66">SUM(D384:D385)</f>
        <v>11.3</v>
      </c>
      <c r="E386" s="169">
        <f t="shared" si="66"/>
        <v>8.9</v>
      </c>
      <c r="F386" s="169">
        <f t="shared" si="66"/>
        <v>48.4</v>
      </c>
      <c r="G386" s="169">
        <f t="shared" si="66"/>
        <v>319.10000000000002</v>
      </c>
      <c r="H386" s="169">
        <f t="shared" si="66"/>
        <v>0.16500000000000001</v>
      </c>
      <c r="I386" s="169">
        <f t="shared" si="66"/>
        <v>2.8</v>
      </c>
      <c r="J386" s="169">
        <f t="shared" si="66"/>
        <v>6.9999999999999993E-2</v>
      </c>
      <c r="K386" s="169">
        <f t="shared" si="66"/>
        <v>0.5</v>
      </c>
      <c r="L386" s="152">
        <f t="shared" si="66"/>
        <v>250.23</v>
      </c>
      <c r="M386" s="152">
        <f t="shared" si="66"/>
        <v>219.905</v>
      </c>
      <c r="N386" s="152">
        <f t="shared" si="66"/>
        <v>35.375</v>
      </c>
      <c r="O386" s="169">
        <f t="shared" si="66"/>
        <v>0.59</v>
      </c>
      <c r="P386" s="125">
        <f t="shared" si="66"/>
        <v>0.22</v>
      </c>
      <c r="Q386" s="125">
        <f t="shared" si="66"/>
        <v>9.8699999999999992</v>
      </c>
      <c r="R386" s="233"/>
      <c r="S386" s="233"/>
    </row>
    <row r="387" spans="1:19" s="37" customFormat="1" x14ac:dyDescent="0.2">
      <c r="A387" s="49"/>
      <c r="B387" s="132" t="s">
        <v>7</v>
      </c>
      <c r="C387" s="120"/>
      <c r="D387" s="168">
        <f t="shared" ref="D387:Q387" si="67">D372+D382+D386</f>
        <v>61.263999999999996</v>
      </c>
      <c r="E387" s="168">
        <f t="shared" si="67"/>
        <v>53.386499999999991</v>
      </c>
      <c r="F387" s="168">
        <f t="shared" si="67"/>
        <v>228.01900000000001</v>
      </c>
      <c r="G387" s="168">
        <f t="shared" si="67"/>
        <v>1624.3710000000001</v>
      </c>
      <c r="H387" s="168">
        <f t="shared" si="67"/>
        <v>1.7840000000000003</v>
      </c>
      <c r="I387" s="168">
        <f t="shared" si="67"/>
        <v>102.652</v>
      </c>
      <c r="J387" s="168">
        <f t="shared" si="67"/>
        <v>0.98499999999999999</v>
      </c>
      <c r="K387" s="168">
        <f t="shared" si="67"/>
        <v>6.89</v>
      </c>
      <c r="L387" s="167">
        <f t="shared" si="67"/>
        <v>603.11200000000008</v>
      </c>
      <c r="M387" s="167">
        <f t="shared" si="67"/>
        <v>897.63099999999986</v>
      </c>
      <c r="N387" s="167">
        <f t="shared" si="67"/>
        <v>300.47300000000001</v>
      </c>
      <c r="O387" s="168">
        <f t="shared" si="67"/>
        <v>11.6982</v>
      </c>
      <c r="P387" s="168">
        <f t="shared" si="67"/>
        <v>1.0785</v>
      </c>
      <c r="Q387" s="168">
        <f t="shared" si="67"/>
        <v>43.740499999999997</v>
      </c>
      <c r="R387" s="233"/>
      <c r="S387" s="233"/>
    </row>
    <row r="388" spans="1:19" s="37" customFormat="1" x14ac:dyDescent="0.2">
      <c r="A388" s="279" t="s">
        <v>56</v>
      </c>
      <c r="B388" s="279"/>
      <c r="C388" s="279"/>
      <c r="D388" s="279"/>
      <c r="E388" s="279"/>
      <c r="F388" s="279"/>
      <c r="G388" s="280"/>
      <c r="H388" s="280"/>
      <c r="I388" s="280"/>
      <c r="J388" s="280"/>
      <c r="K388" s="280"/>
      <c r="L388" s="280"/>
      <c r="M388" s="280"/>
      <c r="N388" s="280"/>
      <c r="O388" s="280"/>
      <c r="P388" s="280"/>
      <c r="Q388" s="280"/>
      <c r="R388" s="280"/>
      <c r="S388" s="280"/>
    </row>
    <row r="389" spans="1:19" s="37" customFormat="1" ht="18" x14ac:dyDescent="0.2">
      <c r="A389" s="279" t="s">
        <v>3</v>
      </c>
      <c r="B389" s="280"/>
      <c r="C389" s="280"/>
      <c r="D389" s="280"/>
      <c r="E389" s="280"/>
      <c r="F389" s="280"/>
      <c r="G389" s="280"/>
      <c r="H389" s="280"/>
      <c r="I389" s="280"/>
      <c r="J389" s="280"/>
      <c r="K389" s="280"/>
      <c r="L389" s="280"/>
      <c r="M389" s="280"/>
      <c r="N389" s="280"/>
      <c r="O389" s="280"/>
      <c r="P389" s="280"/>
      <c r="Q389" s="280"/>
      <c r="R389" s="280"/>
      <c r="S389" s="280"/>
    </row>
    <row r="390" spans="1:19" s="63" customFormat="1" x14ac:dyDescent="0.2">
      <c r="A390" s="49">
        <v>1</v>
      </c>
      <c r="B390" s="47" t="s">
        <v>266</v>
      </c>
      <c r="C390" s="41">
        <v>150</v>
      </c>
      <c r="D390" s="176">
        <f>3.8*C390/100</f>
        <v>5.7</v>
      </c>
      <c r="E390" s="176">
        <f>4*C390/100</f>
        <v>6</v>
      </c>
      <c r="F390" s="176">
        <f>22.86*C390/100</f>
        <v>34.29</v>
      </c>
      <c r="G390" s="176">
        <f>142.8*C390/100</f>
        <v>214.2</v>
      </c>
      <c r="H390" s="42">
        <f>0.07*C390/100</f>
        <v>0.10500000000000002</v>
      </c>
      <c r="I390" s="42">
        <f>14.25*C390/100</f>
        <v>21.375</v>
      </c>
      <c r="J390" s="42">
        <f>0.03*C390/100</f>
        <v>4.4999999999999998E-2</v>
      </c>
      <c r="K390" s="42">
        <f>0.08*C390/100</f>
        <v>0.12</v>
      </c>
      <c r="L390" s="48">
        <f>10.5*C390/100</f>
        <v>15.75</v>
      </c>
      <c r="M390" s="48">
        <f>55.1*C390/100</f>
        <v>82.65</v>
      </c>
      <c r="N390" s="48">
        <f>20.27*C390/100</f>
        <v>30.405000000000001</v>
      </c>
      <c r="O390" s="42">
        <f>0.64*C390/100</f>
        <v>0.96</v>
      </c>
      <c r="P390" s="49">
        <f>0.01*C390/100</f>
        <v>1.4999999999999999E-2</v>
      </c>
      <c r="Q390" s="49">
        <f>3.3*C390/100</f>
        <v>4.95</v>
      </c>
      <c r="R390" s="233">
        <v>120218</v>
      </c>
      <c r="S390" s="233">
        <v>120219</v>
      </c>
    </row>
    <row r="391" spans="1:19" s="63" customFormat="1" x14ac:dyDescent="0.2">
      <c r="A391" s="49">
        <v>2</v>
      </c>
      <c r="B391" s="47" t="s">
        <v>31</v>
      </c>
      <c r="C391" s="59">
        <v>200</v>
      </c>
      <c r="D391" s="60">
        <v>0</v>
      </c>
      <c r="E391" s="60">
        <v>0</v>
      </c>
      <c r="F391" s="60">
        <f>4.99*C391/100</f>
        <v>9.98</v>
      </c>
      <c r="G391" s="42">
        <f>19.95*C391/100</f>
        <v>39.9</v>
      </c>
      <c r="H391" s="42">
        <v>0</v>
      </c>
      <c r="I391" s="42">
        <v>0</v>
      </c>
      <c r="J391" s="42">
        <v>0</v>
      </c>
      <c r="K391" s="42">
        <v>0</v>
      </c>
      <c r="L391" s="48">
        <f>8.15*C391/100</f>
        <v>16.3</v>
      </c>
      <c r="M391" s="48">
        <f>0.02*C391/100</f>
        <v>0.04</v>
      </c>
      <c r="N391" s="48">
        <f>1.79*C391/100</f>
        <v>3.58</v>
      </c>
      <c r="O391" s="42">
        <f>0.02*C391/100</f>
        <v>0.04</v>
      </c>
      <c r="P391" s="49">
        <f>0.01*C391/100</f>
        <v>0.02</v>
      </c>
      <c r="Q391" s="49">
        <v>0.48</v>
      </c>
      <c r="R391" s="233">
        <v>160105</v>
      </c>
      <c r="S391" s="233"/>
    </row>
    <row r="392" spans="1:19" s="63" customFormat="1" x14ac:dyDescent="0.2">
      <c r="A392" s="49">
        <v>3</v>
      </c>
      <c r="B392" s="47" t="s">
        <v>160</v>
      </c>
      <c r="C392" s="41">
        <v>20</v>
      </c>
      <c r="D392" s="42">
        <f>7.76*C392/100</f>
        <v>1.5519999999999998</v>
      </c>
      <c r="E392" s="42">
        <f>2.65*C392/100</f>
        <v>0.53</v>
      </c>
      <c r="F392" s="42">
        <f>53.25*C392/100</f>
        <v>10.65</v>
      </c>
      <c r="G392" s="42">
        <f>273*C392/100</f>
        <v>54.6</v>
      </c>
      <c r="H392" s="42">
        <f>0.34*C392/100</f>
        <v>6.8000000000000005E-2</v>
      </c>
      <c r="I392" s="42">
        <f>0*C392/100</f>
        <v>0</v>
      </c>
      <c r="J392" s="42">
        <v>0</v>
      </c>
      <c r="K392" s="42">
        <f>1.5*C392/100</f>
        <v>0.3</v>
      </c>
      <c r="L392" s="48">
        <f>148.1*C392/100</f>
        <v>29.62</v>
      </c>
      <c r="M392" s="48">
        <f>0*C392/100</f>
        <v>0</v>
      </c>
      <c r="N392" s="48">
        <f>16*C392/100</f>
        <v>3.2</v>
      </c>
      <c r="O392" s="42">
        <f>2.4*C392/100</f>
        <v>0.48</v>
      </c>
      <c r="P392" s="56">
        <f>0.2*C392/100</f>
        <v>0.04</v>
      </c>
      <c r="Q392" s="56">
        <f>1.5*C392/100</f>
        <v>0.3</v>
      </c>
      <c r="R392" s="233">
        <v>200102</v>
      </c>
      <c r="S392" s="233"/>
    </row>
    <row r="393" spans="1:19" s="63" customFormat="1" ht="37.5" x14ac:dyDescent="0.2">
      <c r="A393" s="49">
        <v>4</v>
      </c>
      <c r="B393" s="47" t="s">
        <v>164</v>
      </c>
      <c r="C393" s="41">
        <v>10</v>
      </c>
      <c r="D393" s="42">
        <f>0.5*C393/100</f>
        <v>0.05</v>
      </c>
      <c r="E393" s="42">
        <f>82.5*C393/100</f>
        <v>8.25</v>
      </c>
      <c r="F393" s="42">
        <f>0.8*C393/100</f>
        <v>0.08</v>
      </c>
      <c r="G393" s="42">
        <f>748*C393/100</f>
        <v>74.8</v>
      </c>
      <c r="H393" s="42">
        <v>0</v>
      </c>
      <c r="I393" s="42">
        <v>0</v>
      </c>
      <c r="J393" s="42">
        <f>0.4*C393/100</f>
        <v>0.04</v>
      </c>
      <c r="K393" s="42">
        <f>1*C393/100</f>
        <v>0.1</v>
      </c>
      <c r="L393" s="48">
        <f>12*C393/100</f>
        <v>1.2</v>
      </c>
      <c r="M393" s="48">
        <f>19*C393/100</f>
        <v>1.9</v>
      </c>
      <c r="N393" s="48">
        <f>0*C393/100</f>
        <v>0</v>
      </c>
      <c r="O393" s="42">
        <f>0.2*C393/100</f>
        <v>0.02</v>
      </c>
      <c r="P393" s="56">
        <f>0.1*C393/100</f>
        <v>0.01</v>
      </c>
      <c r="Q393" s="49">
        <v>0</v>
      </c>
      <c r="R393" s="233"/>
      <c r="S393" s="233"/>
    </row>
    <row r="394" spans="1:19" s="63" customFormat="1" x14ac:dyDescent="0.2">
      <c r="A394" s="49">
        <v>5</v>
      </c>
      <c r="B394" s="47" t="s">
        <v>271</v>
      </c>
      <c r="C394" s="41">
        <v>150</v>
      </c>
      <c r="D394" s="94">
        <f>1.2*C394/100</f>
        <v>1.8</v>
      </c>
      <c r="E394" s="94">
        <v>0</v>
      </c>
      <c r="F394" s="94">
        <f>30.18*C394/100</f>
        <v>45.27</v>
      </c>
      <c r="G394" s="94">
        <f>125.5*C394/100</f>
        <v>188.25</v>
      </c>
      <c r="H394" s="42">
        <v>0</v>
      </c>
      <c r="I394" s="42">
        <f>0.8*C394/100</f>
        <v>1.2</v>
      </c>
      <c r="J394" s="42">
        <v>0</v>
      </c>
      <c r="K394" s="42">
        <v>0</v>
      </c>
      <c r="L394" s="48">
        <f>28.96*C394/100</f>
        <v>43.44</v>
      </c>
      <c r="M394" s="48">
        <f>9.26*C394/100</f>
        <v>13.89</v>
      </c>
      <c r="N394" s="48">
        <f>3.51*C394/100</f>
        <v>5.2649999999999997</v>
      </c>
      <c r="O394" s="42">
        <f>0.1*C394/100</f>
        <v>0.15</v>
      </c>
      <c r="P394" s="56">
        <v>0</v>
      </c>
      <c r="Q394" s="56">
        <v>0</v>
      </c>
      <c r="R394" s="233">
        <v>220105</v>
      </c>
      <c r="S394" s="233">
        <v>220106</v>
      </c>
    </row>
    <row r="395" spans="1:19" s="37" customFormat="1" x14ac:dyDescent="0.2">
      <c r="A395" s="49"/>
      <c r="B395" s="132" t="s">
        <v>4</v>
      </c>
      <c r="C395" s="120"/>
      <c r="D395" s="169">
        <f t="shared" ref="D395:Q395" si="68">SUM(D390:D394)</f>
        <v>9.1020000000000003</v>
      </c>
      <c r="E395" s="169">
        <f t="shared" si="68"/>
        <v>14.780000000000001</v>
      </c>
      <c r="F395" s="169">
        <f t="shared" si="68"/>
        <v>100.27</v>
      </c>
      <c r="G395" s="169">
        <f t="shared" si="68"/>
        <v>571.75</v>
      </c>
      <c r="H395" s="169">
        <f t="shared" si="68"/>
        <v>0.17300000000000004</v>
      </c>
      <c r="I395" s="169">
        <f t="shared" si="68"/>
        <v>22.574999999999999</v>
      </c>
      <c r="J395" s="169">
        <f t="shared" si="68"/>
        <v>8.4999999999999992E-2</v>
      </c>
      <c r="K395" s="169">
        <f t="shared" si="68"/>
        <v>0.52</v>
      </c>
      <c r="L395" s="152">
        <f t="shared" si="68"/>
        <v>106.31</v>
      </c>
      <c r="M395" s="152">
        <f t="shared" si="68"/>
        <v>98.480000000000018</v>
      </c>
      <c r="N395" s="152">
        <f t="shared" si="68"/>
        <v>42.45</v>
      </c>
      <c r="O395" s="169">
        <f t="shared" si="68"/>
        <v>1.65</v>
      </c>
      <c r="P395" s="125">
        <f t="shared" si="68"/>
        <v>8.5000000000000006E-2</v>
      </c>
      <c r="Q395" s="125">
        <f t="shared" si="68"/>
        <v>5.7299999999999995</v>
      </c>
      <c r="R395" s="233"/>
      <c r="S395" s="233"/>
    </row>
    <row r="396" spans="1:19" s="37" customFormat="1" ht="18" x14ac:dyDescent="0.2">
      <c r="A396" s="279" t="s">
        <v>5</v>
      </c>
      <c r="B396" s="280"/>
      <c r="C396" s="280"/>
      <c r="D396" s="280"/>
      <c r="E396" s="280"/>
      <c r="F396" s="280"/>
      <c r="G396" s="280"/>
      <c r="H396" s="280"/>
      <c r="I396" s="280"/>
      <c r="J396" s="280"/>
      <c r="K396" s="280"/>
      <c r="L396" s="280"/>
      <c r="M396" s="280"/>
      <c r="N396" s="280"/>
      <c r="O396" s="280"/>
      <c r="P396" s="280"/>
      <c r="Q396" s="280"/>
      <c r="R396" s="280"/>
      <c r="S396" s="280"/>
    </row>
    <row r="397" spans="1:19" s="63" customFormat="1" x14ac:dyDescent="0.2">
      <c r="A397" s="49">
        <v>1</v>
      </c>
      <c r="B397" s="47" t="s">
        <v>218</v>
      </c>
      <c r="C397" s="41">
        <v>60</v>
      </c>
      <c r="D397" s="42">
        <f>0.8*C397/100</f>
        <v>0.48</v>
      </c>
      <c r="E397" s="42">
        <f>0.1*C397/100</f>
        <v>0.06</v>
      </c>
      <c r="F397" s="42">
        <f>1.7*C397/100</f>
        <v>1.02</v>
      </c>
      <c r="G397" s="42">
        <f>13*C397/100</f>
        <v>7.8</v>
      </c>
      <c r="H397" s="42">
        <f>0.02*$C397/100</f>
        <v>1.2E-2</v>
      </c>
      <c r="I397" s="42">
        <f>5*$C397/100</f>
        <v>3</v>
      </c>
      <c r="J397" s="42">
        <f>0*$C397/100</f>
        <v>0</v>
      </c>
      <c r="K397" s="42">
        <f>0*$C397/100</f>
        <v>0</v>
      </c>
      <c r="L397" s="48">
        <f>23*$C397/100</f>
        <v>13.8</v>
      </c>
      <c r="M397" s="48">
        <f>24*$C397/100</f>
        <v>14.4</v>
      </c>
      <c r="N397" s="48">
        <f>14*$C397/100</f>
        <v>8.4</v>
      </c>
      <c r="O397" s="42">
        <f>0.6*$C397/100</f>
        <v>0.36</v>
      </c>
      <c r="P397" s="49">
        <f>0.02*C397/100</f>
        <v>1.2E-2</v>
      </c>
      <c r="Q397" s="49">
        <v>4.32</v>
      </c>
      <c r="R397" s="233">
        <v>100503</v>
      </c>
      <c r="S397" s="233"/>
    </row>
    <row r="398" spans="1:19" s="63" customFormat="1" x14ac:dyDescent="0.2">
      <c r="A398" s="49">
        <v>2</v>
      </c>
      <c r="B398" s="47" t="s">
        <v>109</v>
      </c>
      <c r="C398" s="41">
        <v>250</v>
      </c>
      <c r="D398" s="42">
        <f>0.35*C398/100</f>
        <v>0.875</v>
      </c>
      <c r="E398" s="42">
        <f>2.6*C398/100</f>
        <v>6.5</v>
      </c>
      <c r="F398" s="42">
        <f>4.16*C398/100</f>
        <v>10.4</v>
      </c>
      <c r="G398" s="42">
        <f>41.4*C398/100</f>
        <v>103.5</v>
      </c>
      <c r="H398" s="42">
        <f>0.04*C398/100</f>
        <v>0.1</v>
      </c>
      <c r="I398" s="42">
        <f>4.25*C398/100</f>
        <v>10.625</v>
      </c>
      <c r="J398" s="42">
        <f>0.01*C398/100</f>
        <v>2.5000000000000001E-2</v>
      </c>
      <c r="K398" s="42">
        <f>0.11*C398/100</f>
        <v>0.27500000000000002</v>
      </c>
      <c r="L398" s="48">
        <f>20.81*C398/100</f>
        <v>52.024999999999999</v>
      </c>
      <c r="M398" s="48">
        <f>58.13*C398/100</f>
        <v>145.32499999999999</v>
      </c>
      <c r="N398" s="48">
        <f>14.24*C398/100</f>
        <v>35.6</v>
      </c>
      <c r="O398" s="42">
        <f>2.07*C398/100</f>
        <v>5.1749999999999998</v>
      </c>
      <c r="P398" s="49">
        <f>0.07*C398/100</f>
        <v>0.17499999999999999</v>
      </c>
      <c r="Q398" s="49">
        <v>3.63</v>
      </c>
      <c r="R398" s="233">
        <v>110101</v>
      </c>
      <c r="S398" s="233">
        <v>110102</v>
      </c>
    </row>
    <row r="399" spans="1:19" s="63" customFormat="1" x14ac:dyDescent="0.2">
      <c r="A399" s="49">
        <v>3</v>
      </c>
      <c r="B399" s="47" t="s">
        <v>19</v>
      </c>
      <c r="C399" s="41">
        <v>100</v>
      </c>
      <c r="D399" s="42">
        <f>15*C399/100</f>
        <v>15</v>
      </c>
      <c r="E399" s="42">
        <f>5.5*C399/100</f>
        <v>5.5</v>
      </c>
      <c r="F399" s="42">
        <f>0.66*C399/100</f>
        <v>0.66</v>
      </c>
      <c r="G399" s="42">
        <f>109.5*C399/100</f>
        <v>109.5</v>
      </c>
      <c r="H399" s="42">
        <f>0.07*C399/100</f>
        <v>7.0000000000000007E-2</v>
      </c>
      <c r="I399" s="42">
        <f>4.13*C399/100</f>
        <v>4.13</v>
      </c>
      <c r="J399" s="42">
        <f>0.04*C399/100</f>
        <v>0.04</v>
      </c>
      <c r="K399" s="42">
        <f>0.02*C399/100</f>
        <v>0.02</v>
      </c>
      <c r="L399" s="48">
        <f>28.28*C399/100</f>
        <v>28.28</v>
      </c>
      <c r="M399" s="48">
        <f>138.55*C399/100</f>
        <v>138.55000000000001</v>
      </c>
      <c r="N399" s="48">
        <f>24.27*C399/100</f>
        <v>24.27</v>
      </c>
      <c r="O399" s="42">
        <f>1.57*C399/100</f>
        <v>1.57</v>
      </c>
      <c r="P399" s="49">
        <f>0.16*C399/100</f>
        <v>0.16</v>
      </c>
      <c r="Q399" s="49">
        <v>1.2</v>
      </c>
      <c r="R399" s="233">
        <v>120603</v>
      </c>
      <c r="S399" s="233">
        <v>120604</v>
      </c>
    </row>
    <row r="400" spans="1:19" s="63" customFormat="1" x14ac:dyDescent="0.2">
      <c r="A400" s="49">
        <v>4</v>
      </c>
      <c r="B400" s="47" t="s">
        <v>13</v>
      </c>
      <c r="C400" s="41">
        <v>30</v>
      </c>
      <c r="D400" s="60">
        <f>0.9*C400/100</f>
        <v>0.27</v>
      </c>
      <c r="E400" s="60">
        <f>4.5*C400/100</f>
        <v>1.35</v>
      </c>
      <c r="F400" s="60">
        <f>7.4*C400/100</f>
        <v>2.2200000000000002</v>
      </c>
      <c r="G400" s="60">
        <f>73.7*C400/100</f>
        <v>22.11</v>
      </c>
      <c r="H400" s="42">
        <v>8.9999999999999993E-3</v>
      </c>
      <c r="I400" s="42">
        <v>0.15</v>
      </c>
      <c r="J400" s="42">
        <v>6.0000000000000001E-3</v>
      </c>
      <c r="K400" s="42">
        <v>0.03</v>
      </c>
      <c r="L400" s="48">
        <v>46.05</v>
      </c>
      <c r="M400" s="48">
        <v>32.85</v>
      </c>
      <c r="N400" s="48">
        <v>5.0999999999999996</v>
      </c>
      <c r="O400" s="42">
        <v>0.03</v>
      </c>
      <c r="P400" s="49">
        <v>0.03</v>
      </c>
      <c r="Q400" s="49">
        <v>1.35</v>
      </c>
      <c r="R400" s="233">
        <v>140104</v>
      </c>
      <c r="S400" s="233">
        <v>140105</v>
      </c>
    </row>
    <row r="401" spans="1:19" s="64" customFormat="1" ht="18.75" customHeight="1" x14ac:dyDescent="0.25">
      <c r="A401" s="49">
        <v>5</v>
      </c>
      <c r="B401" s="47" t="s">
        <v>114</v>
      </c>
      <c r="C401" s="41">
        <v>150</v>
      </c>
      <c r="D401" s="42">
        <f>3.1*C401/100</f>
        <v>4.6500000000000004</v>
      </c>
      <c r="E401" s="42">
        <f>2.8*C401/100</f>
        <v>4.2</v>
      </c>
      <c r="F401" s="42">
        <f>30.3*C401/100</f>
        <v>45.45</v>
      </c>
      <c r="G401" s="42">
        <f>166.8*C401/100</f>
        <v>250.2</v>
      </c>
      <c r="H401" s="42">
        <f>0.04*C401/100</f>
        <v>0.06</v>
      </c>
      <c r="I401" s="42">
        <f>0*C401/100</f>
        <v>0</v>
      </c>
      <c r="J401" s="42">
        <f>0.02*C401/100</f>
        <v>0.03</v>
      </c>
      <c r="K401" s="42">
        <f>0.05*C401/100</f>
        <v>7.4999999999999997E-2</v>
      </c>
      <c r="L401" s="48">
        <f>3.95*C401/100</f>
        <v>5.9249999999999998</v>
      </c>
      <c r="M401" s="48">
        <f>23.34*C401/100</f>
        <v>35.01</v>
      </c>
      <c r="N401" s="48">
        <f>5.12*C401/100</f>
        <v>7.68</v>
      </c>
      <c r="O401" s="42">
        <f>0.5*C401/100</f>
        <v>0.75</v>
      </c>
      <c r="P401" s="49">
        <f>0.01*C401/100</f>
        <v>1.4999999999999999E-2</v>
      </c>
      <c r="Q401" s="49">
        <f>1.5*C401/100</f>
        <v>2.25</v>
      </c>
      <c r="R401" s="235">
        <v>130401</v>
      </c>
      <c r="S401" s="235">
        <v>130402</v>
      </c>
    </row>
    <row r="402" spans="1:19" s="64" customFormat="1" ht="42" customHeight="1" x14ac:dyDescent="0.3">
      <c r="A402" s="49">
        <v>6</v>
      </c>
      <c r="B402" s="47" t="s">
        <v>162</v>
      </c>
      <c r="C402" s="41">
        <v>200</v>
      </c>
      <c r="D402" s="42">
        <f>0.1*C402/100</f>
        <v>0.2</v>
      </c>
      <c r="E402" s="42">
        <f>0.04*C402/100</f>
        <v>0.08</v>
      </c>
      <c r="F402" s="42">
        <f>9.15*C402/100</f>
        <v>18.3</v>
      </c>
      <c r="G402" s="42">
        <f>28.46*C402/100</f>
        <v>56.92</v>
      </c>
      <c r="H402" s="42">
        <v>0</v>
      </c>
      <c r="I402" s="42">
        <f>20*C402/100</f>
        <v>40</v>
      </c>
      <c r="J402" s="42">
        <v>0</v>
      </c>
      <c r="K402" s="42">
        <f>0.07*C402/100</f>
        <v>0.14000000000000001</v>
      </c>
      <c r="L402" s="42">
        <f>9.75*C402/100</f>
        <v>19.5</v>
      </c>
      <c r="M402" s="42">
        <f>6.76*C402/100</f>
        <v>13.52</v>
      </c>
      <c r="N402" s="42">
        <f>4.05*C402/100</f>
        <v>8.1</v>
      </c>
      <c r="O402" s="42">
        <f>0.14*C402/100</f>
        <v>0.28000000000000003</v>
      </c>
      <c r="P402" s="55">
        <v>0</v>
      </c>
      <c r="Q402" s="55">
        <v>4.8899999999999997</v>
      </c>
      <c r="R402" s="233">
        <v>160203</v>
      </c>
      <c r="S402" s="235"/>
    </row>
    <row r="403" spans="1:19" s="63" customFormat="1" x14ac:dyDescent="0.2">
      <c r="A403" s="49">
        <v>7</v>
      </c>
      <c r="B403" s="47" t="s">
        <v>160</v>
      </c>
      <c r="C403" s="41">
        <v>40</v>
      </c>
      <c r="D403" s="42">
        <f>7.76*C403/100</f>
        <v>3.1039999999999996</v>
      </c>
      <c r="E403" s="42">
        <f>2.65*C403/100</f>
        <v>1.06</v>
      </c>
      <c r="F403" s="42">
        <f>53.25*C403/100</f>
        <v>21.3</v>
      </c>
      <c r="G403" s="42">
        <f>273*C403/100</f>
        <v>109.2</v>
      </c>
      <c r="H403" s="42">
        <f>0.34*C403/100</f>
        <v>0.13600000000000001</v>
      </c>
      <c r="I403" s="42">
        <f>0*C403/100</f>
        <v>0</v>
      </c>
      <c r="J403" s="42">
        <v>0</v>
      </c>
      <c r="K403" s="42">
        <f>1.5*C403/100</f>
        <v>0.6</v>
      </c>
      <c r="L403" s="48">
        <f>148.1*C403/100</f>
        <v>59.24</v>
      </c>
      <c r="M403" s="48">
        <f>0*C403/100</f>
        <v>0</v>
      </c>
      <c r="N403" s="48">
        <f>16*C403/100</f>
        <v>6.4</v>
      </c>
      <c r="O403" s="42">
        <f>2.4*C403/100</f>
        <v>0.96</v>
      </c>
      <c r="P403" s="56">
        <f>0.2*C403/100</f>
        <v>0.08</v>
      </c>
      <c r="Q403" s="56">
        <f>1.5*C403/100</f>
        <v>0.6</v>
      </c>
      <c r="R403" s="233">
        <v>200102</v>
      </c>
      <c r="S403" s="233"/>
    </row>
    <row r="404" spans="1:19" s="63" customFormat="1" x14ac:dyDescent="0.2">
      <c r="A404" s="49">
        <v>8</v>
      </c>
      <c r="B404" s="47" t="s">
        <v>222</v>
      </c>
      <c r="C404" s="41">
        <v>40</v>
      </c>
      <c r="D404" s="42">
        <f>9.4*C404/100</f>
        <v>3.76</v>
      </c>
      <c r="E404" s="42">
        <f>5.8*C404/100</f>
        <v>2.3199999999999998</v>
      </c>
      <c r="F404" s="42">
        <f>52.7*C404/100</f>
        <v>21.08</v>
      </c>
      <c r="G404" s="42">
        <f>300.6*C404/100</f>
        <v>120.24</v>
      </c>
      <c r="H404" s="42">
        <f>0.4*C404/100</f>
        <v>0.16</v>
      </c>
      <c r="I404" s="42">
        <f>0.03*C404/100</f>
        <v>1.2E-2</v>
      </c>
      <c r="J404" s="42">
        <v>0</v>
      </c>
      <c r="K404" s="42">
        <f>1.7*C404/100</f>
        <v>0.68</v>
      </c>
      <c r="L404" s="48">
        <f>25.4*C404/100</f>
        <v>10.16</v>
      </c>
      <c r="M404" s="48">
        <f>105.53*C404/100</f>
        <v>42.211999999999996</v>
      </c>
      <c r="N404" s="48">
        <f>36.5*C404/100</f>
        <v>14.6</v>
      </c>
      <c r="O404" s="42">
        <f>2.45*C404/100</f>
        <v>0.98</v>
      </c>
      <c r="P404" s="56">
        <f>0.2*C404/100</f>
        <v>0.08</v>
      </c>
      <c r="Q404" s="56">
        <v>0</v>
      </c>
      <c r="R404" s="233">
        <v>190101</v>
      </c>
      <c r="S404" s="233"/>
    </row>
    <row r="405" spans="1:19" s="37" customFormat="1" x14ac:dyDescent="0.2">
      <c r="A405" s="49"/>
      <c r="B405" s="132" t="s">
        <v>4</v>
      </c>
      <c r="C405" s="120"/>
      <c r="D405" s="168">
        <f t="shared" ref="D405:Q405" si="69">SUM(D397:D404)</f>
        <v>28.338999999999999</v>
      </c>
      <c r="E405" s="168">
        <f t="shared" si="69"/>
        <v>21.069999999999997</v>
      </c>
      <c r="F405" s="168">
        <f t="shared" si="69"/>
        <v>120.42999999999999</v>
      </c>
      <c r="G405" s="168">
        <f t="shared" si="69"/>
        <v>779.47</v>
      </c>
      <c r="H405" s="168">
        <f t="shared" si="69"/>
        <v>0.54700000000000004</v>
      </c>
      <c r="I405" s="168">
        <f t="shared" si="69"/>
        <v>57.917000000000002</v>
      </c>
      <c r="J405" s="168">
        <f t="shared" si="69"/>
        <v>0.10100000000000001</v>
      </c>
      <c r="K405" s="168">
        <f t="shared" si="69"/>
        <v>1.8200000000000003</v>
      </c>
      <c r="L405" s="167">
        <f t="shared" si="69"/>
        <v>234.98000000000002</v>
      </c>
      <c r="M405" s="167">
        <f t="shared" si="69"/>
        <v>421.86699999999996</v>
      </c>
      <c r="N405" s="167">
        <f t="shared" si="69"/>
        <v>110.14999999999998</v>
      </c>
      <c r="O405" s="168">
        <f t="shared" si="69"/>
        <v>10.105</v>
      </c>
      <c r="P405" s="125">
        <f t="shared" si="69"/>
        <v>0.55200000000000005</v>
      </c>
      <c r="Q405" s="125">
        <f t="shared" si="69"/>
        <v>18.240000000000002</v>
      </c>
      <c r="R405" s="233"/>
      <c r="S405" s="233"/>
    </row>
    <row r="406" spans="1:19" s="37" customFormat="1" ht="18" x14ac:dyDescent="0.2">
      <c r="A406" s="279" t="s">
        <v>35</v>
      </c>
      <c r="B406" s="280"/>
      <c r="C406" s="280"/>
      <c r="D406" s="280"/>
      <c r="E406" s="280"/>
      <c r="F406" s="280"/>
      <c r="G406" s="280"/>
      <c r="H406" s="280"/>
      <c r="I406" s="280"/>
      <c r="J406" s="280"/>
      <c r="K406" s="280"/>
      <c r="L406" s="280"/>
      <c r="M406" s="280"/>
      <c r="N406" s="280"/>
      <c r="O406" s="280"/>
      <c r="P406" s="280"/>
      <c r="Q406" s="280"/>
      <c r="R406" s="280"/>
      <c r="S406" s="280"/>
    </row>
    <row r="407" spans="1:19" s="63" customFormat="1" ht="37.5" x14ac:dyDescent="0.2">
      <c r="A407" s="49">
        <v>1</v>
      </c>
      <c r="B407" s="47" t="s">
        <v>246</v>
      </c>
      <c r="C407" s="41">
        <v>50</v>
      </c>
      <c r="D407" s="60">
        <f>8*C407/100</f>
        <v>4</v>
      </c>
      <c r="E407" s="60">
        <f>5.8*C407/100</f>
        <v>2.9</v>
      </c>
      <c r="F407" s="60">
        <f>53.4*C407/100</f>
        <v>26.7</v>
      </c>
      <c r="G407" s="60">
        <f>297.8*C407/100</f>
        <v>148.9</v>
      </c>
      <c r="H407" s="42">
        <v>0.13</v>
      </c>
      <c r="I407" s="42">
        <v>0</v>
      </c>
      <c r="J407" s="42">
        <v>0.06</v>
      </c>
      <c r="K407" s="42">
        <v>0.94</v>
      </c>
      <c r="L407" s="48">
        <v>27.9</v>
      </c>
      <c r="M407" s="48">
        <v>104.5</v>
      </c>
      <c r="N407" s="48">
        <v>14.2</v>
      </c>
      <c r="O407" s="42">
        <v>0.06</v>
      </c>
      <c r="P407" s="49">
        <v>0.04</v>
      </c>
      <c r="Q407" s="49">
        <v>0.19</v>
      </c>
      <c r="R407" s="231" t="s">
        <v>245</v>
      </c>
      <c r="S407" s="233">
        <v>190203</v>
      </c>
    </row>
    <row r="408" spans="1:19" s="52" customFormat="1" x14ac:dyDescent="0.2">
      <c r="A408" s="49">
        <v>2</v>
      </c>
      <c r="B408" s="47" t="s">
        <v>174</v>
      </c>
      <c r="C408" s="59">
        <v>200</v>
      </c>
      <c r="D408" s="60">
        <f>2.8*C408/100</f>
        <v>5.6</v>
      </c>
      <c r="E408" s="60">
        <f>4*C408/100</f>
        <v>8</v>
      </c>
      <c r="F408" s="60">
        <f>4.2*C408/100</f>
        <v>8.4</v>
      </c>
      <c r="G408" s="42">
        <f>64*C408/100</f>
        <v>128</v>
      </c>
      <c r="H408" s="42">
        <f>0.02*C408/100</f>
        <v>0.04</v>
      </c>
      <c r="I408" s="42">
        <f>0.3*C408/100</f>
        <v>0.6</v>
      </c>
      <c r="J408" s="42">
        <f>0.03*C408/100</f>
        <v>0.06</v>
      </c>
      <c r="K408" s="42">
        <v>0</v>
      </c>
      <c r="L408" s="48">
        <f>124*C408/100</f>
        <v>248</v>
      </c>
      <c r="M408" s="48">
        <f>92*C408/100</f>
        <v>184</v>
      </c>
      <c r="N408" s="48">
        <f>14*C408/100</f>
        <v>28</v>
      </c>
      <c r="O408" s="42">
        <f>0.1*C408/100</f>
        <v>0.2</v>
      </c>
      <c r="P408" s="56">
        <f>0.1*C408/100</f>
        <v>0.2</v>
      </c>
      <c r="Q408" s="56">
        <v>0</v>
      </c>
      <c r="R408" s="233">
        <v>230102</v>
      </c>
      <c r="S408" s="233"/>
    </row>
    <row r="409" spans="1:19" s="37" customFormat="1" x14ac:dyDescent="0.2">
      <c r="A409" s="49"/>
      <c r="B409" s="132" t="s">
        <v>4</v>
      </c>
      <c r="C409" s="120"/>
      <c r="D409" s="169">
        <f t="shared" ref="D409:Q409" si="70">SUM(D407:D408)</f>
        <v>9.6</v>
      </c>
      <c r="E409" s="169">
        <f t="shared" si="70"/>
        <v>10.9</v>
      </c>
      <c r="F409" s="169">
        <f t="shared" si="70"/>
        <v>35.1</v>
      </c>
      <c r="G409" s="169">
        <f t="shared" si="70"/>
        <v>276.89999999999998</v>
      </c>
      <c r="H409" s="169">
        <f t="shared" si="70"/>
        <v>0.17</v>
      </c>
      <c r="I409" s="169">
        <f t="shared" si="70"/>
        <v>0.6</v>
      </c>
      <c r="J409" s="169">
        <f t="shared" si="70"/>
        <v>0.12</v>
      </c>
      <c r="K409" s="169">
        <f t="shared" si="70"/>
        <v>0.94</v>
      </c>
      <c r="L409" s="152">
        <f t="shared" si="70"/>
        <v>275.89999999999998</v>
      </c>
      <c r="M409" s="152">
        <f t="shared" si="70"/>
        <v>288.5</v>
      </c>
      <c r="N409" s="152">
        <f t="shared" si="70"/>
        <v>42.2</v>
      </c>
      <c r="O409" s="169">
        <f t="shared" si="70"/>
        <v>0.26</v>
      </c>
      <c r="P409" s="125">
        <f t="shared" si="70"/>
        <v>0.24000000000000002</v>
      </c>
      <c r="Q409" s="125">
        <f t="shared" si="70"/>
        <v>0.19</v>
      </c>
      <c r="R409" s="233"/>
      <c r="S409" s="233"/>
    </row>
    <row r="410" spans="1:19" s="37" customFormat="1" x14ac:dyDescent="0.2">
      <c r="A410" s="49"/>
      <c r="B410" s="132" t="s">
        <v>7</v>
      </c>
      <c r="C410" s="120"/>
      <c r="D410" s="168">
        <f t="shared" ref="D410:Q410" si="71">D395+D405+D409</f>
        <v>47.041000000000004</v>
      </c>
      <c r="E410" s="168">
        <f t="shared" si="71"/>
        <v>46.749999999999993</v>
      </c>
      <c r="F410" s="168">
        <f t="shared" si="71"/>
        <v>255.79999999999998</v>
      </c>
      <c r="G410" s="168">
        <f t="shared" si="71"/>
        <v>1628.12</v>
      </c>
      <c r="H410" s="168">
        <f t="shared" si="71"/>
        <v>0.89000000000000012</v>
      </c>
      <c r="I410" s="168">
        <f t="shared" si="71"/>
        <v>81.091999999999999</v>
      </c>
      <c r="J410" s="168">
        <f t="shared" si="71"/>
        <v>0.30599999999999999</v>
      </c>
      <c r="K410" s="168">
        <f t="shared" si="71"/>
        <v>3.2800000000000002</v>
      </c>
      <c r="L410" s="167">
        <f t="shared" si="71"/>
        <v>617.19000000000005</v>
      </c>
      <c r="M410" s="167">
        <f t="shared" si="71"/>
        <v>808.84699999999998</v>
      </c>
      <c r="N410" s="167">
        <f t="shared" si="71"/>
        <v>194.79999999999995</v>
      </c>
      <c r="O410" s="168">
        <f t="shared" si="71"/>
        <v>12.015000000000001</v>
      </c>
      <c r="P410" s="168">
        <f t="shared" si="71"/>
        <v>0.877</v>
      </c>
      <c r="Q410" s="168">
        <f t="shared" si="71"/>
        <v>24.160000000000004</v>
      </c>
      <c r="R410" s="233"/>
      <c r="S410" s="233"/>
    </row>
    <row r="411" spans="1:19" s="37" customFormat="1" x14ac:dyDescent="0.2">
      <c r="A411" s="279" t="s">
        <v>57</v>
      </c>
      <c r="B411" s="279"/>
      <c r="C411" s="279"/>
      <c r="D411" s="279"/>
      <c r="E411" s="279"/>
      <c r="F411" s="279"/>
      <c r="G411" s="280"/>
      <c r="H411" s="280"/>
      <c r="I411" s="280"/>
      <c r="J411" s="280"/>
      <c r="K411" s="280"/>
      <c r="L411" s="280"/>
      <c r="M411" s="280"/>
      <c r="N411" s="280"/>
      <c r="O411" s="280"/>
      <c r="P411" s="280"/>
      <c r="Q411" s="280"/>
      <c r="R411" s="280"/>
      <c r="S411" s="280"/>
    </row>
    <row r="412" spans="1:19" s="37" customFormat="1" ht="18" x14ac:dyDescent="0.2">
      <c r="A412" s="279" t="s">
        <v>3</v>
      </c>
      <c r="B412" s="280"/>
      <c r="C412" s="280"/>
      <c r="D412" s="280"/>
      <c r="E412" s="280"/>
      <c r="F412" s="280"/>
      <c r="G412" s="280"/>
      <c r="H412" s="280"/>
      <c r="I412" s="280"/>
      <c r="J412" s="280"/>
      <c r="K412" s="280"/>
      <c r="L412" s="280"/>
      <c r="M412" s="280"/>
      <c r="N412" s="280"/>
      <c r="O412" s="280"/>
      <c r="P412" s="280"/>
      <c r="Q412" s="280"/>
      <c r="R412" s="280"/>
      <c r="S412" s="280"/>
    </row>
    <row r="413" spans="1:19" s="64" customFormat="1" ht="19.5" customHeight="1" x14ac:dyDescent="0.3">
      <c r="A413" s="49">
        <v>1</v>
      </c>
      <c r="B413" s="47" t="s">
        <v>67</v>
      </c>
      <c r="C413" s="41">
        <v>150</v>
      </c>
      <c r="D413" s="116">
        <f>15.4*C413/100</f>
        <v>23.1</v>
      </c>
      <c r="E413" s="116">
        <f>4.1*C413/100</f>
        <v>6.15</v>
      </c>
      <c r="F413" s="116">
        <f>16.2*C413/100</f>
        <v>24.3</v>
      </c>
      <c r="G413" s="116">
        <f>142.8*C413/100</f>
        <v>214.2</v>
      </c>
      <c r="H413" s="42">
        <f>C413*0.05/100</f>
        <v>7.4999999999999997E-2</v>
      </c>
      <c r="I413" s="42">
        <f>0.21*C413/100</f>
        <v>0.315</v>
      </c>
      <c r="J413" s="42">
        <f>C413*0.05/100</f>
        <v>7.4999999999999997E-2</v>
      </c>
      <c r="K413" s="42">
        <f>C413*0.35/100</f>
        <v>0.52500000000000002</v>
      </c>
      <c r="L413" s="42">
        <f>C413*129.32/100</f>
        <v>193.98</v>
      </c>
      <c r="M413" s="42">
        <f>C413*183.98/100</f>
        <v>275.97000000000003</v>
      </c>
      <c r="N413" s="42">
        <f>C413*21.41/100</f>
        <v>32.115000000000002</v>
      </c>
      <c r="O413" s="42">
        <f>C413*0.62/100</f>
        <v>0.93</v>
      </c>
      <c r="P413" s="128">
        <f>0.22*C413/100</f>
        <v>0.33</v>
      </c>
      <c r="Q413" s="128">
        <v>22.98</v>
      </c>
      <c r="R413" s="232">
        <v>120305</v>
      </c>
      <c r="S413" s="235">
        <v>120306</v>
      </c>
    </row>
    <row r="414" spans="1:19" s="64" customFormat="1" ht="19.5" customHeight="1" x14ac:dyDescent="0.3">
      <c r="A414" s="49">
        <v>2</v>
      </c>
      <c r="B414" s="47" t="s">
        <v>157</v>
      </c>
      <c r="C414" s="41">
        <v>30</v>
      </c>
      <c r="D414" s="116">
        <f>2*C414/100</f>
        <v>0.6</v>
      </c>
      <c r="E414" s="116">
        <f>5.2*C414/100</f>
        <v>1.56</v>
      </c>
      <c r="F414" s="116">
        <f>7.1*C414/100</f>
        <v>2.13</v>
      </c>
      <c r="G414" s="116">
        <f>83.2*C414/100</f>
        <v>24.96</v>
      </c>
      <c r="H414" s="42">
        <f>C414*0.05/100</f>
        <v>1.4999999999999999E-2</v>
      </c>
      <c r="I414" s="42">
        <v>1.54</v>
      </c>
      <c r="J414" s="42">
        <f>C414*0.18/100</f>
        <v>5.3999999999999992E-2</v>
      </c>
      <c r="K414" s="42">
        <f>C414*1.19/100</f>
        <v>0.35699999999999998</v>
      </c>
      <c r="L414" s="42">
        <f>C414*83.48/100</f>
        <v>25.044</v>
      </c>
      <c r="M414" s="42">
        <f>C414*148.63/100</f>
        <v>44.588999999999999</v>
      </c>
      <c r="N414" s="42">
        <f>C414*12.79/100</f>
        <v>3.8369999999999997</v>
      </c>
      <c r="O414" s="42">
        <f>C414*1.5/100</f>
        <v>0.45</v>
      </c>
      <c r="P414" s="128">
        <v>0.47</v>
      </c>
      <c r="Q414" s="128">
        <v>1.9</v>
      </c>
      <c r="R414" s="232">
        <v>140108</v>
      </c>
      <c r="S414" s="235">
        <v>140109</v>
      </c>
    </row>
    <row r="415" spans="1:19" s="63" customFormat="1" x14ac:dyDescent="0.2">
      <c r="A415" s="49">
        <v>3</v>
      </c>
      <c r="B415" s="47" t="s">
        <v>122</v>
      </c>
      <c r="C415" s="41">
        <v>200</v>
      </c>
      <c r="D415" s="94">
        <f>2.25*C415/100</f>
        <v>4.5</v>
      </c>
      <c r="E415" s="94">
        <f>2.24*C415/100</f>
        <v>4.4800000000000004</v>
      </c>
      <c r="F415" s="94">
        <f>10.25*C415/100</f>
        <v>20.5</v>
      </c>
      <c r="G415" s="94">
        <f>70.23*C415/100</f>
        <v>140.46</v>
      </c>
      <c r="H415" s="42">
        <f>0.13*C415/100</f>
        <v>0.26</v>
      </c>
      <c r="I415" s="42">
        <f>7*C415/100</f>
        <v>14</v>
      </c>
      <c r="J415" s="42">
        <f>0*C415/100</f>
        <v>0</v>
      </c>
      <c r="K415" s="42">
        <v>0</v>
      </c>
      <c r="L415" s="48">
        <f>1.55*C415/100</f>
        <v>3.1</v>
      </c>
      <c r="M415" s="48">
        <v>0</v>
      </c>
      <c r="N415" s="48">
        <f>0.3*C415/100</f>
        <v>0.6</v>
      </c>
      <c r="O415" s="42">
        <f>0.02*C415/100</f>
        <v>0.04</v>
      </c>
      <c r="P415" s="49">
        <v>0</v>
      </c>
      <c r="Q415" s="49">
        <v>3.58</v>
      </c>
      <c r="R415" s="233">
        <v>160104</v>
      </c>
      <c r="S415" s="233"/>
    </row>
    <row r="416" spans="1:19" s="63" customFormat="1" x14ac:dyDescent="0.2">
      <c r="A416" s="49">
        <v>4</v>
      </c>
      <c r="B416" s="47" t="s">
        <v>160</v>
      </c>
      <c r="C416" s="41">
        <v>20</v>
      </c>
      <c r="D416" s="42">
        <f>7.76*C416/100</f>
        <v>1.5519999999999998</v>
      </c>
      <c r="E416" s="42">
        <f>2.65*C416/100</f>
        <v>0.53</v>
      </c>
      <c r="F416" s="42">
        <f>53.25*C416/100</f>
        <v>10.65</v>
      </c>
      <c r="G416" s="42">
        <f>273*C416/100</f>
        <v>54.6</v>
      </c>
      <c r="H416" s="42">
        <f>0.34*C416/100</f>
        <v>6.8000000000000005E-2</v>
      </c>
      <c r="I416" s="42">
        <f>0*C416/100</f>
        <v>0</v>
      </c>
      <c r="J416" s="42">
        <v>0</v>
      </c>
      <c r="K416" s="42">
        <f>1.5*C416/100</f>
        <v>0.3</v>
      </c>
      <c r="L416" s="48">
        <f>148.1*C416/100</f>
        <v>29.62</v>
      </c>
      <c r="M416" s="48">
        <f>0*C416/100</f>
        <v>0</v>
      </c>
      <c r="N416" s="48">
        <f>16*C416/100</f>
        <v>3.2</v>
      </c>
      <c r="O416" s="42">
        <f>2.4*C416/100</f>
        <v>0.48</v>
      </c>
      <c r="P416" s="56">
        <f>0.2*C416/100</f>
        <v>0.04</v>
      </c>
      <c r="Q416" s="56">
        <f>1.5*C416/100</f>
        <v>0.3</v>
      </c>
      <c r="R416" s="233">
        <v>200102</v>
      </c>
      <c r="S416" s="233"/>
    </row>
    <row r="417" spans="1:19" s="65" customFormat="1" ht="56.25" x14ac:dyDescent="0.2">
      <c r="A417" s="49">
        <v>5</v>
      </c>
      <c r="B417" s="178" t="s">
        <v>188</v>
      </c>
      <c r="C417" s="179">
        <v>20</v>
      </c>
      <c r="D417" s="180">
        <f>26*C417/100</f>
        <v>5.2</v>
      </c>
      <c r="E417" s="180">
        <f>26.1*C417/100</f>
        <v>5.22</v>
      </c>
      <c r="F417" s="180">
        <f>0*C417/100</f>
        <v>0</v>
      </c>
      <c r="G417" s="62">
        <f>344*C417/100</f>
        <v>68.8</v>
      </c>
      <c r="H417" s="56">
        <f>0.03*C417/100</f>
        <v>6.0000000000000001E-3</v>
      </c>
      <c r="I417" s="56">
        <f>0.8*C417/100</f>
        <v>0.16</v>
      </c>
      <c r="J417" s="56">
        <f>0.23*C417/100</f>
        <v>4.6000000000000006E-2</v>
      </c>
      <c r="K417" s="56">
        <f>0.5*C417/100</f>
        <v>0.1</v>
      </c>
      <c r="L417" s="123">
        <f>1000*C417/100</f>
        <v>200</v>
      </c>
      <c r="M417" s="123">
        <f>650*C417/100</f>
        <v>130</v>
      </c>
      <c r="N417" s="123">
        <f>45*C417/100</f>
        <v>9</v>
      </c>
      <c r="O417" s="56">
        <f>0.8*C417/100</f>
        <v>0.16</v>
      </c>
      <c r="P417" s="56">
        <f>0.3*C417/100</f>
        <v>0.06</v>
      </c>
      <c r="Q417" s="56">
        <v>0</v>
      </c>
      <c r="R417" s="233">
        <v>100102</v>
      </c>
      <c r="S417" s="237"/>
    </row>
    <row r="418" spans="1:19" s="249" customFormat="1" ht="18.75" customHeight="1" x14ac:dyDescent="0.25">
      <c r="A418" s="49">
        <v>6</v>
      </c>
      <c r="B418" s="178" t="s">
        <v>277</v>
      </c>
      <c r="C418" s="179" t="s">
        <v>274</v>
      </c>
      <c r="D418" s="180">
        <v>0.3</v>
      </c>
      <c r="E418" s="180">
        <v>0</v>
      </c>
      <c r="F418" s="180">
        <v>27.9</v>
      </c>
      <c r="G418" s="62">
        <v>112.8</v>
      </c>
      <c r="H418" s="56">
        <v>0</v>
      </c>
      <c r="I418" s="56">
        <v>0</v>
      </c>
      <c r="J418" s="56">
        <v>0</v>
      </c>
      <c r="K418" s="56">
        <v>0</v>
      </c>
      <c r="L418" s="123">
        <v>0</v>
      </c>
      <c r="M418" s="123">
        <v>0</v>
      </c>
      <c r="N418" s="123">
        <v>0</v>
      </c>
      <c r="O418" s="56">
        <v>0</v>
      </c>
      <c r="P418" s="56">
        <v>0</v>
      </c>
      <c r="Q418" s="56">
        <v>0</v>
      </c>
      <c r="R418" s="233"/>
      <c r="S418" s="248"/>
    </row>
    <row r="419" spans="1:19" s="37" customFormat="1" x14ac:dyDescent="0.2">
      <c r="A419" s="49"/>
      <c r="B419" s="132" t="s">
        <v>4</v>
      </c>
      <c r="C419" s="120"/>
      <c r="D419" s="169">
        <f t="shared" ref="D419:Q419" si="72">SUM(D413:D418)</f>
        <v>35.252000000000002</v>
      </c>
      <c r="E419" s="169">
        <f t="shared" si="72"/>
        <v>17.940000000000001</v>
      </c>
      <c r="F419" s="169">
        <f t="shared" si="72"/>
        <v>85.47999999999999</v>
      </c>
      <c r="G419" s="169">
        <f t="shared" si="72"/>
        <v>615.82000000000005</v>
      </c>
      <c r="H419" s="169">
        <f t="shared" si="72"/>
        <v>0.42399999999999999</v>
      </c>
      <c r="I419" s="169">
        <f t="shared" si="72"/>
        <v>16.015000000000001</v>
      </c>
      <c r="J419" s="169">
        <f t="shared" si="72"/>
        <v>0.17500000000000002</v>
      </c>
      <c r="K419" s="169">
        <f t="shared" si="72"/>
        <v>1.282</v>
      </c>
      <c r="L419" s="152">
        <f t="shared" si="72"/>
        <v>451.74400000000003</v>
      </c>
      <c r="M419" s="152">
        <f t="shared" si="72"/>
        <v>450.55900000000003</v>
      </c>
      <c r="N419" s="152">
        <f t="shared" si="72"/>
        <v>48.752000000000002</v>
      </c>
      <c r="O419" s="169">
        <f t="shared" si="72"/>
        <v>2.06</v>
      </c>
      <c r="P419" s="125">
        <f t="shared" si="72"/>
        <v>0.90000000000000013</v>
      </c>
      <c r="Q419" s="125">
        <f t="shared" si="72"/>
        <v>28.76</v>
      </c>
      <c r="R419" s="233"/>
      <c r="S419" s="233"/>
    </row>
    <row r="420" spans="1:19" s="37" customFormat="1" ht="18" x14ac:dyDescent="0.2">
      <c r="A420" s="279" t="s">
        <v>5</v>
      </c>
      <c r="B420" s="280"/>
      <c r="C420" s="280"/>
      <c r="D420" s="280"/>
      <c r="E420" s="280"/>
      <c r="F420" s="280"/>
      <c r="G420" s="280"/>
      <c r="H420" s="280"/>
      <c r="I420" s="280"/>
      <c r="J420" s="280"/>
      <c r="K420" s="280"/>
      <c r="L420" s="280"/>
      <c r="M420" s="280"/>
      <c r="N420" s="280"/>
      <c r="O420" s="280"/>
      <c r="P420" s="280"/>
      <c r="Q420" s="280"/>
      <c r="R420" s="280"/>
      <c r="S420" s="280"/>
    </row>
    <row r="421" spans="1:19" s="63" customFormat="1" ht="37.5" x14ac:dyDescent="0.2">
      <c r="A421" s="49">
        <v>1</v>
      </c>
      <c r="B421" s="47" t="s">
        <v>150</v>
      </c>
      <c r="C421" s="41">
        <v>60</v>
      </c>
      <c r="D421" s="42">
        <f>1.9*C421/100</f>
        <v>1.1399999999999999</v>
      </c>
      <c r="E421" s="42">
        <f>8.9*C421/100</f>
        <v>5.34</v>
      </c>
      <c r="F421" s="42">
        <f>7.7*C421/100</f>
        <v>4.62</v>
      </c>
      <c r="G421" s="42">
        <f>119*C421/100</f>
        <v>71.400000000000006</v>
      </c>
      <c r="H421" s="42">
        <f>0.02*$C421/100</f>
        <v>1.2E-2</v>
      </c>
      <c r="I421" s="42">
        <f>7*$C421/100</f>
        <v>4.2</v>
      </c>
      <c r="J421" s="42">
        <f>0*$C421/100</f>
        <v>0</v>
      </c>
      <c r="K421" s="42">
        <f>0*$C421/100</f>
        <v>0</v>
      </c>
      <c r="L421" s="48">
        <f>41*$C421/100</f>
        <v>24.6</v>
      </c>
      <c r="M421" s="48">
        <f>37*$C421/100</f>
        <v>22.2</v>
      </c>
      <c r="N421" s="48">
        <f>15*$C421/100</f>
        <v>9</v>
      </c>
      <c r="O421" s="42">
        <f>0.7*$C421/100</f>
        <v>0.42</v>
      </c>
      <c r="P421" s="49">
        <f>0.05*C421/100</f>
        <v>0.03</v>
      </c>
      <c r="Q421" s="49">
        <v>3.32</v>
      </c>
      <c r="R421" s="233">
        <v>100502</v>
      </c>
      <c r="S421" s="233"/>
    </row>
    <row r="422" spans="1:19" s="63" customFormat="1" x14ac:dyDescent="0.2">
      <c r="A422" s="49">
        <v>2</v>
      </c>
      <c r="B422" s="47" t="s">
        <v>180</v>
      </c>
      <c r="C422" s="41">
        <v>250</v>
      </c>
      <c r="D422" s="42">
        <f>1.5*C422/100</f>
        <v>3.75</v>
      </c>
      <c r="E422" s="42">
        <f>1.7*C422/100</f>
        <v>4.25</v>
      </c>
      <c r="F422" s="42">
        <f>2.5*C422/100</f>
        <v>6.25</v>
      </c>
      <c r="G422" s="42">
        <f>31.3*C422/100</f>
        <v>78.25</v>
      </c>
      <c r="H422" s="42">
        <f>C422*0.04/100</f>
        <v>0.1</v>
      </c>
      <c r="I422" s="42">
        <f>4.61*C422/100</f>
        <v>11.525</v>
      </c>
      <c r="J422" s="42">
        <f>0.01*C422/100</f>
        <v>2.5000000000000001E-2</v>
      </c>
      <c r="K422" s="42">
        <f>0.11*C422/100</f>
        <v>0.27500000000000002</v>
      </c>
      <c r="L422" s="48">
        <f>C422*17.99/100</f>
        <v>44.975000000000001</v>
      </c>
      <c r="M422" s="48">
        <f>C422*28.01/100</f>
        <v>70.025000000000006</v>
      </c>
      <c r="N422" s="48">
        <f>C422*12.54/100</f>
        <v>31.35</v>
      </c>
      <c r="O422" s="42">
        <f>C422*0.43/100</f>
        <v>1.075</v>
      </c>
      <c r="P422" s="49">
        <f>0.03*C422/100</f>
        <v>7.4999999999999997E-2</v>
      </c>
      <c r="Q422" s="49">
        <v>4</v>
      </c>
      <c r="R422" s="233">
        <v>110203</v>
      </c>
      <c r="S422" s="233">
        <v>110204</v>
      </c>
    </row>
    <row r="423" spans="1:19" s="63" customFormat="1" x14ac:dyDescent="0.2">
      <c r="A423" s="49">
        <v>3</v>
      </c>
      <c r="B423" s="47" t="s">
        <v>120</v>
      </c>
      <c r="C423" s="41">
        <v>80</v>
      </c>
      <c r="D423" s="42">
        <f>18.2*C423/100</f>
        <v>14.56</v>
      </c>
      <c r="E423" s="42">
        <f>2.3*C423/100</f>
        <v>1.84</v>
      </c>
      <c r="F423" s="42">
        <f>2.2*C423/100</f>
        <v>1.76</v>
      </c>
      <c r="G423" s="42">
        <f>102.4*C423/100</f>
        <v>81.92</v>
      </c>
      <c r="H423" s="42">
        <f>0.06*C423/100</f>
        <v>4.8000000000000001E-2</v>
      </c>
      <c r="I423" s="42">
        <f>0*C423/100</f>
        <v>0</v>
      </c>
      <c r="J423" s="42">
        <f>0.05*C423/100</f>
        <v>0.04</v>
      </c>
      <c r="K423" s="42">
        <f>0.06*C423/100</f>
        <v>4.8000000000000001E-2</v>
      </c>
      <c r="L423" s="48">
        <f>0.71*C423/100</f>
        <v>0.56799999999999995</v>
      </c>
      <c r="M423" s="48">
        <f>1.12*C423/100</f>
        <v>0.89600000000000013</v>
      </c>
      <c r="N423" s="48">
        <f>0*C423/100</f>
        <v>0</v>
      </c>
      <c r="O423" s="42">
        <f>0.01*C423/100</f>
        <v>8.0000000000000002E-3</v>
      </c>
      <c r="P423" s="49">
        <f>1.68*C423/100</f>
        <v>1.3440000000000001</v>
      </c>
      <c r="Q423" s="49">
        <v>0</v>
      </c>
      <c r="R423" s="233">
        <v>120403</v>
      </c>
      <c r="S423" s="233">
        <v>120404</v>
      </c>
    </row>
    <row r="424" spans="1:19" s="63" customFormat="1" x14ac:dyDescent="0.2">
      <c r="A424" s="49">
        <v>4</v>
      </c>
      <c r="B424" s="47" t="s">
        <v>118</v>
      </c>
      <c r="C424" s="41">
        <v>30</v>
      </c>
      <c r="D424" s="42">
        <f>0.6*C424/100</f>
        <v>0.18</v>
      </c>
      <c r="E424" s="42">
        <f>4.4*C424/100</f>
        <v>1.32</v>
      </c>
      <c r="F424" s="42">
        <f>6.6*C424/100</f>
        <v>1.98</v>
      </c>
      <c r="G424" s="42">
        <f>68.4*C424/100</f>
        <v>20.52</v>
      </c>
      <c r="H424" s="42">
        <f>0.3*C424/100</f>
        <v>0.09</v>
      </c>
      <c r="I424" s="42">
        <f>15*C424/100</f>
        <v>4.5</v>
      </c>
      <c r="J424" s="42">
        <f>0.35*C424/100</f>
        <v>0.105</v>
      </c>
      <c r="K424" s="42">
        <f>0*C424/100</f>
        <v>0</v>
      </c>
      <c r="L424" s="48">
        <v>0</v>
      </c>
      <c r="M424" s="48">
        <v>0</v>
      </c>
      <c r="N424" s="48">
        <v>0</v>
      </c>
      <c r="O424" s="42">
        <v>0</v>
      </c>
      <c r="P424" s="49">
        <f>0.3*C424/100</f>
        <v>0.09</v>
      </c>
      <c r="Q424" s="49">
        <f>1.3*C424/100</f>
        <v>0.39</v>
      </c>
      <c r="R424" s="233">
        <v>140101</v>
      </c>
      <c r="S424" s="231">
        <v>140102</v>
      </c>
    </row>
    <row r="425" spans="1:19" s="63" customFormat="1" x14ac:dyDescent="0.2">
      <c r="A425" s="49">
        <v>5</v>
      </c>
      <c r="B425" s="47" t="s">
        <v>11</v>
      </c>
      <c r="C425" s="41">
        <v>150</v>
      </c>
      <c r="D425" s="42">
        <f>1.625*C425/100</f>
        <v>2.4375</v>
      </c>
      <c r="E425" s="42">
        <f>7.125*C425/100</f>
        <v>10.6875</v>
      </c>
      <c r="F425" s="42">
        <f>9.44*C425/100</f>
        <v>14.16</v>
      </c>
      <c r="G425" s="42">
        <f>108.4*C425/100</f>
        <v>162.6</v>
      </c>
      <c r="H425" s="42">
        <f>0.13*C425/100</f>
        <v>0.19500000000000001</v>
      </c>
      <c r="I425" s="42">
        <f>18.1*C425/100</f>
        <v>27.15</v>
      </c>
      <c r="J425" s="42">
        <f>0.02*C425/100</f>
        <v>0.03</v>
      </c>
      <c r="K425" s="42">
        <f>0.13*C425/100</f>
        <v>0.19500000000000001</v>
      </c>
      <c r="L425" s="48">
        <f>8.9*C425/100</f>
        <v>13.35</v>
      </c>
      <c r="M425" s="48">
        <f>49.09*C425/100</f>
        <v>73.635000000000005</v>
      </c>
      <c r="N425" s="48">
        <f>19.09*C425/100</f>
        <v>28.635000000000002</v>
      </c>
      <c r="O425" s="42">
        <f>0.77*C425/100</f>
        <v>1.155</v>
      </c>
      <c r="P425" s="49">
        <f>0.06*C425/100</f>
        <v>0.09</v>
      </c>
      <c r="Q425" s="49">
        <v>6.27</v>
      </c>
      <c r="R425" s="233">
        <v>130101</v>
      </c>
      <c r="S425" s="233">
        <v>130102</v>
      </c>
    </row>
    <row r="426" spans="1:19" s="66" customFormat="1" x14ac:dyDescent="0.2">
      <c r="A426" s="49">
        <v>6</v>
      </c>
      <c r="B426" s="47" t="s">
        <v>231</v>
      </c>
      <c r="C426" s="41">
        <v>200</v>
      </c>
      <c r="D426" s="60">
        <f>0.7*C426/100</f>
        <v>1.4</v>
      </c>
      <c r="E426" s="60">
        <v>0</v>
      </c>
      <c r="F426" s="60">
        <f>12*C426/100</f>
        <v>24</v>
      </c>
      <c r="G426" s="60">
        <f>48*C426/100</f>
        <v>96</v>
      </c>
      <c r="H426" s="42">
        <f>0.105*C426/100</f>
        <v>0.21</v>
      </c>
      <c r="I426" s="42">
        <f>2*C426/100</f>
        <v>4</v>
      </c>
      <c r="J426" s="42">
        <f>0.03*C426/100</f>
        <v>0.06</v>
      </c>
      <c r="K426" s="42">
        <f>0.35*C426/100</f>
        <v>0.7</v>
      </c>
      <c r="L426" s="48">
        <f>10.5*C426/100</f>
        <v>21</v>
      </c>
      <c r="M426" s="48">
        <f>8*C426/100</f>
        <v>16</v>
      </c>
      <c r="N426" s="48">
        <f>11.5*C426/100</f>
        <v>23</v>
      </c>
      <c r="O426" s="49">
        <f>0.35*C426/100</f>
        <v>0.7</v>
      </c>
      <c r="P426" s="49">
        <v>0</v>
      </c>
      <c r="Q426" s="49">
        <v>0.4</v>
      </c>
      <c r="R426" s="233"/>
      <c r="S426" s="233"/>
    </row>
    <row r="427" spans="1:19" s="63" customFormat="1" x14ac:dyDescent="0.2">
      <c r="A427" s="49">
        <v>7</v>
      </c>
      <c r="B427" s="47" t="s">
        <v>160</v>
      </c>
      <c r="C427" s="41">
        <v>40</v>
      </c>
      <c r="D427" s="42">
        <f>7.76*C427/100</f>
        <v>3.1039999999999996</v>
      </c>
      <c r="E427" s="42">
        <f>2.65*C427/100</f>
        <v>1.06</v>
      </c>
      <c r="F427" s="42">
        <f>53.25*C427/100</f>
        <v>21.3</v>
      </c>
      <c r="G427" s="42">
        <f>273*C427/100</f>
        <v>109.2</v>
      </c>
      <c r="H427" s="42">
        <f>0.34*C427/100</f>
        <v>0.13600000000000001</v>
      </c>
      <c r="I427" s="42">
        <f>0*C427/100</f>
        <v>0</v>
      </c>
      <c r="J427" s="42">
        <v>0</v>
      </c>
      <c r="K427" s="42">
        <f>1.5*C427/100</f>
        <v>0.6</v>
      </c>
      <c r="L427" s="48">
        <f>148.1*C427/100</f>
        <v>59.24</v>
      </c>
      <c r="M427" s="48">
        <f>0*C427/100</f>
        <v>0</v>
      </c>
      <c r="N427" s="48">
        <f>16*C427/100</f>
        <v>6.4</v>
      </c>
      <c r="O427" s="42">
        <f>2.4*C427/100</f>
        <v>0.96</v>
      </c>
      <c r="P427" s="56">
        <f>0.2*C427/100</f>
        <v>0.08</v>
      </c>
      <c r="Q427" s="56">
        <f>1.5*C427/100</f>
        <v>0.6</v>
      </c>
      <c r="R427" s="233">
        <v>200102</v>
      </c>
      <c r="S427" s="233"/>
    </row>
    <row r="428" spans="1:19" s="63" customFormat="1" x14ac:dyDescent="0.2">
      <c r="A428" s="49">
        <v>8</v>
      </c>
      <c r="B428" s="47" t="s">
        <v>159</v>
      </c>
      <c r="C428" s="41">
        <v>20</v>
      </c>
      <c r="D428" s="42">
        <f>5.86*C428/100</f>
        <v>1.1719999999999999</v>
      </c>
      <c r="E428" s="42">
        <f>0.94*C428/100</f>
        <v>0.18799999999999997</v>
      </c>
      <c r="F428" s="42">
        <f>44.4*C428/100</f>
        <v>8.8800000000000008</v>
      </c>
      <c r="G428" s="42">
        <f>189*C428/100</f>
        <v>37.799999999999997</v>
      </c>
      <c r="H428" s="42">
        <f>0.4*C428/100</f>
        <v>0.08</v>
      </c>
      <c r="I428" s="42">
        <f>0.03*C428/100</f>
        <v>6.0000000000000001E-3</v>
      </c>
      <c r="J428" s="42">
        <v>0</v>
      </c>
      <c r="K428" s="42">
        <f>1.7*C428/100</f>
        <v>0.34</v>
      </c>
      <c r="L428" s="48">
        <f>25.4*C428/100</f>
        <v>5.08</v>
      </c>
      <c r="M428" s="48">
        <f>105.53*C428/100</f>
        <v>21.105999999999998</v>
      </c>
      <c r="N428" s="48">
        <f>36.5*C428/100</f>
        <v>7.3</v>
      </c>
      <c r="O428" s="42">
        <f>2.45*C428/100</f>
        <v>0.49</v>
      </c>
      <c r="P428" s="56">
        <f>0.2*C428/100</f>
        <v>0.04</v>
      </c>
      <c r="Q428" s="56">
        <f>10*C428/100</f>
        <v>2</v>
      </c>
      <c r="R428" s="233">
        <v>200103</v>
      </c>
      <c r="S428" s="233"/>
    </row>
    <row r="429" spans="1:19" s="37" customFormat="1" x14ac:dyDescent="0.2">
      <c r="A429" s="49"/>
      <c r="B429" s="132" t="s">
        <v>4</v>
      </c>
      <c r="C429" s="120"/>
      <c r="D429" s="168">
        <f t="shared" ref="D429:Q429" si="73">SUM(D421:D428)</f>
        <v>27.743499999999997</v>
      </c>
      <c r="E429" s="168">
        <f t="shared" si="73"/>
        <v>24.685499999999998</v>
      </c>
      <c r="F429" s="168">
        <f t="shared" si="73"/>
        <v>82.95</v>
      </c>
      <c r="G429" s="168">
        <f t="shared" si="73"/>
        <v>657.68999999999994</v>
      </c>
      <c r="H429" s="168">
        <f t="shared" si="73"/>
        <v>0.871</v>
      </c>
      <c r="I429" s="168">
        <f t="shared" si="73"/>
        <v>51.381</v>
      </c>
      <c r="J429" s="168">
        <f t="shared" si="73"/>
        <v>0.26</v>
      </c>
      <c r="K429" s="168">
        <f t="shared" si="73"/>
        <v>2.1579999999999999</v>
      </c>
      <c r="L429" s="167">
        <f t="shared" si="73"/>
        <v>168.81300000000002</v>
      </c>
      <c r="M429" s="167">
        <f t="shared" si="73"/>
        <v>203.86200000000002</v>
      </c>
      <c r="N429" s="167">
        <f t="shared" si="73"/>
        <v>105.685</v>
      </c>
      <c r="O429" s="168">
        <f t="shared" si="73"/>
        <v>4.8079999999999998</v>
      </c>
      <c r="P429" s="125">
        <f t="shared" si="73"/>
        <v>1.7490000000000003</v>
      </c>
      <c r="Q429" s="125">
        <f t="shared" si="73"/>
        <v>16.98</v>
      </c>
      <c r="R429" s="233"/>
      <c r="S429" s="233"/>
    </row>
    <row r="430" spans="1:19" s="37" customFormat="1" ht="18" x14ac:dyDescent="0.2">
      <c r="A430" s="279" t="s">
        <v>35</v>
      </c>
      <c r="B430" s="280"/>
      <c r="C430" s="280"/>
      <c r="D430" s="280"/>
      <c r="E430" s="280"/>
      <c r="F430" s="280"/>
      <c r="G430" s="280"/>
      <c r="H430" s="280"/>
      <c r="I430" s="280"/>
      <c r="J430" s="280"/>
      <c r="K430" s="280"/>
      <c r="L430" s="280"/>
      <c r="M430" s="280"/>
      <c r="N430" s="280"/>
      <c r="O430" s="280"/>
      <c r="P430" s="280"/>
      <c r="Q430" s="280"/>
      <c r="R430" s="280"/>
      <c r="S430" s="280"/>
    </row>
    <row r="431" spans="1:19" s="63" customFormat="1" x14ac:dyDescent="0.2">
      <c r="A431" s="49">
        <v>1</v>
      </c>
      <c r="B431" s="47" t="s">
        <v>31</v>
      </c>
      <c r="C431" s="59">
        <v>200</v>
      </c>
      <c r="D431" s="60">
        <v>0</v>
      </c>
      <c r="E431" s="60">
        <v>0</v>
      </c>
      <c r="F431" s="60">
        <f>4.99*C431/100</f>
        <v>9.98</v>
      </c>
      <c r="G431" s="42">
        <f>19.95*C431/100</f>
        <v>39.9</v>
      </c>
      <c r="H431" s="42">
        <v>0</v>
      </c>
      <c r="I431" s="42">
        <v>0</v>
      </c>
      <c r="J431" s="42">
        <v>0</v>
      </c>
      <c r="K431" s="42">
        <v>0</v>
      </c>
      <c r="L431" s="48">
        <f>8.15*C431/100</f>
        <v>16.3</v>
      </c>
      <c r="M431" s="48">
        <f>0.02*C431/100</f>
        <v>0.04</v>
      </c>
      <c r="N431" s="48">
        <f>1.79*C431/100</f>
        <v>3.58</v>
      </c>
      <c r="O431" s="42">
        <f>0.02*C431/100</f>
        <v>0.04</v>
      </c>
      <c r="P431" s="49">
        <f>0.01*C431/100</f>
        <v>0.02</v>
      </c>
      <c r="Q431" s="49">
        <v>0.48</v>
      </c>
      <c r="R431" s="233">
        <v>160105</v>
      </c>
      <c r="S431" s="233"/>
    </row>
    <row r="432" spans="1:19" s="63" customFormat="1" x14ac:dyDescent="0.2">
      <c r="A432" s="49">
        <v>2</v>
      </c>
      <c r="B432" s="47" t="s">
        <v>185</v>
      </c>
      <c r="C432" s="41">
        <v>50</v>
      </c>
      <c r="D432" s="42">
        <f>5.7*C432/100</f>
        <v>2.85</v>
      </c>
      <c r="E432" s="42">
        <f>20.3*C432/100</f>
        <v>10.15</v>
      </c>
      <c r="F432" s="42">
        <f>56.7*C432/100</f>
        <v>28.35</v>
      </c>
      <c r="G432" s="42">
        <f>432.3*C432/100</f>
        <v>216.15</v>
      </c>
      <c r="H432" s="42">
        <f>C432*0.19/100</f>
        <v>9.5000000000000001E-2</v>
      </c>
      <c r="I432" s="42">
        <f>C432*0.08/100</f>
        <v>0.04</v>
      </c>
      <c r="J432" s="42">
        <f>C432*0.13/100</f>
        <v>6.5000000000000002E-2</v>
      </c>
      <c r="K432" s="42">
        <f>C432*3.69/100</f>
        <v>1.845</v>
      </c>
      <c r="L432" s="48">
        <f>C432*53.49/100</f>
        <v>26.745000000000001</v>
      </c>
      <c r="M432" s="48">
        <f>C432*87.07/100</f>
        <v>43.534999999999997</v>
      </c>
      <c r="N432" s="48">
        <f>C432*6.86/100</f>
        <v>3.43</v>
      </c>
      <c r="O432" s="42">
        <f>C432*0.74/100</f>
        <v>0.37</v>
      </c>
      <c r="P432" s="49">
        <v>0.08</v>
      </c>
      <c r="Q432" s="49">
        <v>0.43</v>
      </c>
      <c r="R432" s="233">
        <v>170604</v>
      </c>
      <c r="S432" s="242">
        <v>170605</v>
      </c>
    </row>
    <row r="433" spans="1:19" s="37" customFormat="1" x14ac:dyDescent="0.2">
      <c r="A433" s="49"/>
      <c r="B433" s="132" t="s">
        <v>4</v>
      </c>
      <c r="C433" s="120"/>
      <c r="D433" s="169">
        <f t="shared" ref="D433:Q433" si="74">SUM(D431:D432)</f>
        <v>2.85</v>
      </c>
      <c r="E433" s="169">
        <f t="shared" si="74"/>
        <v>10.15</v>
      </c>
      <c r="F433" s="169">
        <f t="shared" si="74"/>
        <v>38.33</v>
      </c>
      <c r="G433" s="169">
        <f t="shared" si="74"/>
        <v>256.05</v>
      </c>
      <c r="H433" s="169">
        <f t="shared" si="74"/>
        <v>9.5000000000000001E-2</v>
      </c>
      <c r="I433" s="169">
        <f t="shared" si="74"/>
        <v>0.04</v>
      </c>
      <c r="J433" s="169">
        <f t="shared" si="74"/>
        <v>6.5000000000000002E-2</v>
      </c>
      <c r="K433" s="169">
        <f t="shared" si="74"/>
        <v>1.845</v>
      </c>
      <c r="L433" s="152">
        <f t="shared" si="74"/>
        <v>43.045000000000002</v>
      </c>
      <c r="M433" s="152">
        <f t="shared" si="74"/>
        <v>43.574999999999996</v>
      </c>
      <c r="N433" s="152">
        <f t="shared" si="74"/>
        <v>7.01</v>
      </c>
      <c r="O433" s="169">
        <f t="shared" si="74"/>
        <v>0.41</v>
      </c>
      <c r="P433" s="125">
        <f t="shared" si="74"/>
        <v>0.1</v>
      </c>
      <c r="Q433" s="125">
        <f t="shared" si="74"/>
        <v>0.90999999999999992</v>
      </c>
      <c r="R433" s="233"/>
      <c r="S433" s="233"/>
    </row>
    <row r="434" spans="1:19" s="37" customFormat="1" x14ac:dyDescent="0.2">
      <c r="A434" s="49"/>
      <c r="B434" s="132" t="s">
        <v>7</v>
      </c>
      <c r="C434" s="120"/>
      <c r="D434" s="168">
        <f t="shared" ref="D434:Q434" si="75">D419+D429+D433</f>
        <v>65.845500000000001</v>
      </c>
      <c r="E434" s="168">
        <f t="shared" si="75"/>
        <v>52.775500000000001</v>
      </c>
      <c r="F434" s="168">
        <f t="shared" si="75"/>
        <v>206.76</v>
      </c>
      <c r="G434" s="168">
        <f t="shared" si="75"/>
        <v>1529.56</v>
      </c>
      <c r="H434" s="168">
        <f t="shared" si="75"/>
        <v>1.39</v>
      </c>
      <c r="I434" s="168">
        <f t="shared" si="75"/>
        <v>67.436000000000007</v>
      </c>
      <c r="J434" s="168">
        <f t="shared" si="75"/>
        <v>0.5</v>
      </c>
      <c r="K434" s="168">
        <f t="shared" si="75"/>
        <v>5.2850000000000001</v>
      </c>
      <c r="L434" s="167">
        <f t="shared" si="75"/>
        <v>663.60199999999998</v>
      </c>
      <c r="M434" s="167">
        <f t="shared" si="75"/>
        <v>697.99600000000009</v>
      </c>
      <c r="N434" s="167">
        <f t="shared" si="75"/>
        <v>161.447</v>
      </c>
      <c r="O434" s="168">
        <f t="shared" si="75"/>
        <v>7.2780000000000005</v>
      </c>
      <c r="P434" s="168">
        <f t="shared" si="75"/>
        <v>2.7490000000000006</v>
      </c>
      <c r="Q434" s="168">
        <f t="shared" si="75"/>
        <v>46.65</v>
      </c>
      <c r="R434" s="233"/>
      <c r="S434" s="233"/>
    </row>
    <row r="435" spans="1:19" s="37" customFormat="1" x14ac:dyDescent="0.2">
      <c r="A435" s="49"/>
      <c r="B435" s="132" t="s">
        <v>153</v>
      </c>
      <c r="C435" s="120"/>
      <c r="D435" s="168">
        <f t="shared" ref="D435:Q435" si="76">(D317+D341+D365+D387+D410+D434)/6</f>
        <v>60.568083333333334</v>
      </c>
      <c r="E435" s="168">
        <f t="shared" si="76"/>
        <v>57.417000000000002</v>
      </c>
      <c r="F435" s="168">
        <f t="shared" si="76"/>
        <v>221.01649999999998</v>
      </c>
      <c r="G435" s="168">
        <f t="shared" si="76"/>
        <v>1634.4269999999999</v>
      </c>
      <c r="H435" s="168">
        <f t="shared" si="76"/>
        <v>1.2413333333333336</v>
      </c>
      <c r="I435" s="168">
        <f t="shared" si="76"/>
        <v>88.778166666666664</v>
      </c>
      <c r="J435" s="168">
        <f t="shared" si="76"/>
        <v>0.84816666666666674</v>
      </c>
      <c r="K435" s="168">
        <f t="shared" si="76"/>
        <v>4.7631666666666668</v>
      </c>
      <c r="L435" s="168">
        <f t="shared" si="76"/>
        <v>640.7736666666666</v>
      </c>
      <c r="M435" s="168">
        <f t="shared" si="76"/>
        <v>759.35016666666661</v>
      </c>
      <c r="N435" s="168">
        <f t="shared" si="76"/>
        <v>194.24799999999996</v>
      </c>
      <c r="O435" s="168">
        <f t="shared" si="76"/>
        <v>10.267200000000001</v>
      </c>
      <c r="P435" s="168">
        <f t="shared" si="76"/>
        <v>1.3198333333333334</v>
      </c>
      <c r="Q435" s="168">
        <f t="shared" si="76"/>
        <v>50.96008333333333</v>
      </c>
      <c r="R435" s="233"/>
      <c r="S435" s="233"/>
    </row>
    <row r="436" spans="1:19" s="37" customFormat="1" x14ac:dyDescent="0.2">
      <c r="A436" s="299" t="s">
        <v>58</v>
      </c>
      <c r="B436" s="299"/>
      <c r="C436" s="299"/>
      <c r="D436" s="299"/>
      <c r="E436" s="299"/>
      <c r="F436" s="299"/>
      <c r="G436" s="280"/>
      <c r="H436" s="280"/>
      <c r="I436" s="280"/>
      <c r="J436" s="280"/>
      <c r="K436" s="280"/>
      <c r="L436" s="280"/>
      <c r="M436" s="280"/>
      <c r="N436" s="280"/>
      <c r="O436" s="280"/>
      <c r="P436" s="280"/>
      <c r="Q436" s="280"/>
      <c r="R436" s="280"/>
      <c r="S436" s="280"/>
    </row>
    <row r="437" spans="1:19" s="37" customFormat="1" x14ac:dyDescent="0.2">
      <c r="A437" s="299" t="s">
        <v>3</v>
      </c>
      <c r="B437" s="299"/>
      <c r="C437" s="299"/>
      <c r="D437" s="299"/>
      <c r="E437" s="299"/>
      <c r="F437" s="299"/>
      <c r="G437" s="280"/>
      <c r="H437" s="280"/>
      <c r="I437" s="280"/>
      <c r="J437" s="280"/>
      <c r="K437" s="280"/>
      <c r="L437" s="280"/>
      <c r="M437" s="280"/>
      <c r="N437" s="280"/>
      <c r="O437" s="280"/>
      <c r="P437" s="280"/>
      <c r="Q437" s="280"/>
      <c r="R437" s="280"/>
      <c r="S437" s="280"/>
    </row>
    <row r="438" spans="1:19" s="63" customFormat="1" ht="37.5" x14ac:dyDescent="0.2">
      <c r="A438" s="49">
        <v>1</v>
      </c>
      <c r="B438" s="47" t="s">
        <v>212</v>
      </c>
      <c r="C438" s="41">
        <v>98</v>
      </c>
      <c r="D438" s="42">
        <f>10.4*C438/100</f>
        <v>10.192</v>
      </c>
      <c r="E438" s="42">
        <f>20.1*C438/100</f>
        <v>19.698</v>
      </c>
      <c r="F438" s="42">
        <f>0.8*C438/100</f>
        <v>0.78400000000000003</v>
      </c>
      <c r="G438" s="42">
        <f>226*C438/100</f>
        <v>221.48</v>
      </c>
      <c r="H438" s="42">
        <f>0.03*C438/100</f>
        <v>2.9399999999999999E-2</v>
      </c>
      <c r="I438" s="42">
        <f>0*C438/100</f>
        <v>0</v>
      </c>
      <c r="J438" s="42">
        <f>0*C438/100</f>
        <v>0</v>
      </c>
      <c r="K438" s="42">
        <f>0*C438/100</f>
        <v>0</v>
      </c>
      <c r="L438" s="48">
        <f>25*C438/100</f>
        <v>24.5</v>
      </c>
      <c r="M438" s="48">
        <f>0*C438/100</f>
        <v>0</v>
      </c>
      <c r="N438" s="48">
        <f>0*C438/100</f>
        <v>0</v>
      </c>
      <c r="O438" s="42">
        <f>1.8*C438/100</f>
        <v>1.764</v>
      </c>
      <c r="P438" s="49">
        <f>0.09*C438/100</f>
        <v>8.8200000000000001E-2</v>
      </c>
      <c r="Q438" s="49">
        <v>3.5</v>
      </c>
      <c r="R438" s="233">
        <v>120502</v>
      </c>
      <c r="S438" s="233"/>
    </row>
    <row r="439" spans="1:19" s="63" customFormat="1" x14ac:dyDescent="0.2">
      <c r="A439" s="49">
        <v>2</v>
      </c>
      <c r="B439" s="47" t="s">
        <v>69</v>
      </c>
      <c r="C439" s="41">
        <v>150</v>
      </c>
      <c r="D439" s="42">
        <f>2.2*C439/100</f>
        <v>3.3</v>
      </c>
      <c r="E439" s="42">
        <f>3.8*C439/100</f>
        <v>5.7</v>
      </c>
      <c r="F439" s="42">
        <f>14.8*C439/100</f>
        <v>22.2</v>
      </c>
      <c r="G439" s="42">
        <f>102*C439/100</f>
        <v>153</v>
      </c>
      <c r="H439" s="42">
        <f>0.03*C439/100</f>
        <v>4.4999999999999998E-2</v>
      </c>
      <c r="I439" s="42">
        <f>8.15*C439/100</f>
        <v>12.225</v>
      </c>
      <c r="J439" s="42">
        <f>0.02*C439/100</f>
        <v>0.03</v>
      </c>
      <c r="K439" s="42">
        <f>0.27*C439/100</f>
        <v>0.40500000000000003</v>
      </c>
      <c r="L439" s="48">
        <f>41.03*C439/100</f>
        <v>61.545000000000002</v>
      </c>
      <c r="M439" s="48">
        <f>34.83*C439/100</f>
        <v>52.244999999999997</v>
      </c>
      <c r="N439" s="48">
        <f>17.6*C439/100</f>
        <v>26.4</v>
      </c>
      <c r="O439" s="42">
        <f>0.73*C439/100</f>
        <v>1.095</v>
      </c>
      <c r="P439" s="49">
        <f>0.03*C439/100</f>
        <v>4.4999999999999998E-2</v>
      </c>
      <c r="Q439" s="49">
        <v>6.27</v>
      </c>
      <c r="R439" s="233">
        <v>130201</v>
      </c>
      <c r="S439" s="233">
        <v>130202</v>
      </c>
    </row>
    <row r="440" spans="1:19" s="63" customFormat="1" x14ac:dyDescent="0.2">
      <c r="A440" s="49">
        <v>3</v>
      </c>
      <c r="B440" s="47" t="s">
        <v>31</v>
      </c>
      <c r="C440" s="59">
        <v>200</v>
      </c>
      <c r="D440" s="60">
        <v>0</v>
      </c>
      <c r="E440" s="60">
        <v>0</v>
      </c>
      <c r="F440" s="60">
        <f>4.99*C440/100</f>
        <v>9.98</v>
      </c>
      <c r="G440" s="42">
        <f>19.95*C440/100</f>
        <v>39.9</v>
      </c>
      <c r="H440" s="42">
        <v>0</v>
      </c>
      <c r="I440" s="42">
        <v>0</v>
      </c>
      <c r="J440" s="42">
        <v>0</v>
      </c>
      <c r="K440" s="42">
        <v>0</v>
      </c>
      <c r="L440" s="48">
        <f>8.15*C440/100</f>
        <v>16.3</v>
      </c>
      <c r="M440" s="48">
        <f>0.02*C440/100</f>
        <v>0.04</v>
      </c>
      <c r="N440" s="48">
        <f>1.79*C440/100</f>
        <v>3.58</v>
      </c>
      <c r="O440" s="42">
        <f>0.02*C440/100</f>
        <v>0.04</v>
      </c>
      <c r="P440" s="49">
        <f>0.01*C440/100</f>
        <v>0.02</v>
      </c>
      <c r="Q440" s="49">
        <v>0.48</v>
      </c>
      <c r="R440" s="233">
        <v>160105</v>
      </c>
      <c r="S440" s="233"/>
    </row>
    <row r="441" spans="1:19" s="63" customFormat="1" x14ac:dyDescent="0.2">
      <c r="A441" s="49">
        <v>4</v>
      </c>
      <c r="B441" s="96" t="s">
        <v>142</v>
      </c>
      <c r="C441" s="41">
        <v>30</v>
      </c>
      <c r="D441" s="42">
        <f>8.8*C441/100</f>
        <v>2.64</v>
      </c>
      <c r="E441" s="42">
        <f>1.7*C441/100</f>
        <v>0.51</v>
      </c>
      <c r="F441" s="42">
        <f>29.4*C441/100</f>
        <v>8.82</v>
      </c>
      <c r="G441" s="42">
        <f>168*C441/100</f>
        <v>50.4</v>
      </c>
      <c r="H441" s="42">
        <f>0.34*C441/100</f>
        <v>0.10200000000000001</v>
      </c>
      <c r="I441" s="42">
        <f>0*C441/100</f>
        <v>0</v>
      </c>
      <c r="J441" s="42">
        <v>0</v>
      </c>
      <c r="K441" s="42">
        <f>1.5*C441/100</f>
        <v>0.45</v>
      </c>
      <c r="L441" s="48">
        <f>148.1*C441/100</f>
        <v>44.43</v>
      </c>
      <c r="M441" s="48">
        <f>0*C441/100</f>
        <v>0</v>
      </c>
      <c r="N441" s="48">
        <f>16*C441/100</f>
        <v>4.8</v>
      </c>
      <c r="O441" s="42">
        <f>2.4*C441/100</f>
        <v>0.72</v>
      </c>
      <c r="P441" s="56">
        <f>0.2*C441/100</f>
        <v>0.06</v>
      </c>
      <c r="Q441" s="56">
        <v>10</v>
      </c>
      <c r="R441" s="233">
        <v>200101</v>
      </c>
      <c r="S441" s="233"/>
    </row>
    <row r="442" spans="1:19" s="46" customFormat="1" ht="18.75" customHeight="1" x14ac:dyDescent="0.3">
      <c r="A442" s="49">
        <v>5</v>
      </c>
      <c r="B442" s="47" t="s">
        <v>232</v>
      </c>
      <c r="C442" s="41" t="s">
        <v>274</v>
      </c>
      <c r="D442" s="42">
        <v>0.8</v>
      </c>
      <c r="E442" s="42">
        <v>0.4</v>
      </c>
      <c r="F442" s="42">
        <v>8.1</v>
      </c>
      <c r="G442" s="42">
        <v>47</v>
      </c>
      <c r="H442" s="42">
        <v>0.02</v>
      </c>
      <c r="I442" s="42">
        <v>180</v>
      </c>
      <c r="J442" s="42">
        <v>0</v>
      </c>
      <c r="K442" s="42">
        <v>0.3</v>
      </c>
      <c r="L442" s="42">
        <v>40</v>
      </c>
      <c r="M442" s="42">
        <v>34</v>
      </c>
      <c r="N442" s="42">
        <v>25</v>
      </c>
      <c r="O442" s="42">
        <v>1E-3</v>
      </c>
      <c r="P442" s="55">
        <v>0.02</v>
      </c>
      <c r="Q442" s="55">
        <f>2*100/100</f>
        <v>2</v>
      </c>
      <c r="R442" s="235">
        <v>210105</v>
      </c>
      <c r="S442" s="235"/>
    </row>
    <row r="443" spans="1:19" s="37" customFormat="1" x14ac:dyDescent="0.2">
      <c r="A443" s="49"/>
      <c r="B443" s="151" t="s">
        <v>4</v>
      </c>
      <c r="C443" s="109"/>
      <c r="D443" s="169">
        <f t="shared" ref="D443:Q443" si="77">SUM(D438:D442)</f>
        <v>16.932000000000002</v>
      </c>
      <c r="E443" s="169">
        <f t="shared" si="77"/>
        <v>26.308</v>
      </c>
      <c r="F443" s="169">
        <f t="shared" si="77"/>
        <v>49.884</v>
      </c>
      <c r="G443" s="169">
        <f t="shared" si="77"/>
        <v>511.78</v>
      </c>
      <c r="H443" s="169">
        <f t="shared" si="77"/>
        <v>0.19639999999999999</v>
      </c>
      <c r="I443" s="169">
        <f t="shared" si="77"/>
        <v>192.22499999999999</v>
      </c>
      <c r="J443" s="169">
        <f t="shared" si="77"/>
        <v>0.03</v>
      </c>
      <c r="K443" s="169">
        <f t="shared" si="77"/>
        <v>1.155</v>
      </c>
      <c r="L443" s="152">
        <f t="shared" si="77"/>
        <v>186.77500000000001</v>
      </c>
      <c r="M443" s="152">
        <f t="shared" si="77"/>
        <v>86.284999999999997</v>
      </c>
      <c r="N443" s="152">
        <f t="shared" si="77"/>
        <v>59.779999999999994</v>
      </c>
      <c r="O443" s="169">
        <f t="shared" si="77"/>
        <v>3.6199999999999997</v>
      </c>
      <c r="P443" s="125">
        <f t="shared" si="77"/>
        <v>0.23319999999999996</v>
      </c>
      <c r="Q443" s="125">
        <f t="shared" si="77"/>
        <v>22.25</v>
      </c>
      <c r="R443" s="233"/>
      <c r="S443" s="233"/>
    </row>
    <row r="444" spans="1:19" s="37" customFormat="1" x14ac:dyDescent="0.2">
      <c r="A444" s="299" t="s">
        <v>5</v>
      </c>
      <c r="B444" s="299"/>
      <c r="C444" s="299"/>
      <c r="D444" s="299"/>
      <c r="E444" s="299"/>
      <c r="F444" s="299"/>
      <c r="G444" s="280"/>
      <c r="H444" s="280"/>
      <c r="I444" s="280"/>
      <c r="J444" s="280"/>
      <c r="K444" s="280"/>
      <c r="L444" s="280"/>
      <c r="M444" s="280"/>
      <c r="N444" s="280"/>
      <c r="O444" s="280"/>
      <c r="P444" s="280"/>
      <c r="Q444" s="280"/>
      <c r="R444" s="280"/>
      <c r="S444" s="280"/>
    </row>
    <row r="445" spans="1:19" s="63" customFormat="1" ht="37.5" x14ac:dyDescent="0.2">
      <c r="A445" s="49">
        <v>1</v>
      </c>
      <c r="B445" s="47" t="s">
        <v>134</v>
      </c>
      <c r="C445" s="182">
        <v>60</v>
      </c>
      <c r="D445" s="42">
        <f>0.86*C445/100</f>
        <v>0.51600000000000001</v>
      </c>
      <c r="E445" s="42">
        <f>15.12*C445/100</f>
        <v>9.0719999999999992</v>
      </c>
      <c r="F445" s="42">
        <f>2.85*C445/100</f>
        <v>1.71</v>
      </c>
      <c r="G445" s="42">
        <f>151.88*C445/100</f>
        <v>91.127999999999986</v>
      </c>
      <c r="H445" s="94">
        <f>0.04*C445/100</f>
        <v>2.4E-2</v>
      </c>
      <c r="I445" s="94">
        <f>13.68*C445/100</f>
        <v>8.2080000000000002</v>
      </c>
      <c r="J445" s="94">
        <v>0</v>
      </c>
      <c r="K445" s="94">
        <f>2.94*C445/100</f>
        <v>1.764</v>
      </c>
      <c r="L445" s="124">
        <f>18.18*C445/100</f>
        <v>10.907999999999999</v>
      </c>
      <c r="M445" s="124">
        <f>30.17*C445/100</f>
        <v>18.102</v>
      </c>
      <c r="N445" s="124">
        <f>15.59*C445/100</f>
        <v>9.3539999999999992</v>
      </c>
      <c r="O445" s="94">
        <f>0.67*C445/100</f>
        <v>0.40200000000000002</v>
      </c>
      <c r="P445" s="49">
        <f>0.03*C445/100</f>
        <v>1.7999999999999999E-2</v>
      </c>
      <c r="Q445" s="49">
        <v>1.1299999999999999</v>
      </c>
      <c r="R445" s="233">
        <v>100505</v>
      </c>
      <c r="S445" s="233"/>
    </row>
    <row r="446" spans="1:19" s="63" customFormat="1" x14ac:dyDescent="0.2">
      <c r="A446" s="49">
        <v>2</v>
      </c>
      <c r="B446" s="47" t="s">
        <v>211</v>
      </c>
      <c r="C446" s="41">
        <v>250</v>
      </c>
      <c r="D446" s="42">
        <f>1.2*C446/100</f>
        <v>3</v>
      </c>
      <c r="E446" s="42">
        <f>1.6*C446/100</f>
        <v>4</v>
      </c>
      <c r="F446" s="42">
        <f>8.4*C446/100</f>
        <v>21</v>
      </c>
      <c r="G446" s="42">
        <f>52.8*C446/100</f>
        <v>132</v>
      </c>
      <c r="H446" s="42">
        <f>0.04*C446/100</f>
        <v>0.1</v>
      </c>
      <c r="I446" s="42">
        <f>10.07*C446/100</f>
        <v>25.175000000000001</v>
      </c>
      <c r="J446" s="42">
        <f>0.01*C446/100</f>
        <v>2.5000000000000001E-2</v>
      </c>
      <c r="K446" s="42">
        <f>0.11*C446/100</f>
        <v>0.27500000000000002</v>
      </c>
      <c r="L446" s="48">
        <f>14.94*C446/100</f>
        <v>37.35</v>
      </c>
      <c r="M446" s="48">
        <f>27.09*C446/100</f>
        <v>67.724999999999994</v>
      </c>
      <c r="N446" s="48">
        <f>11.73*C446/100</f>
        <v>29.324999999999999</v>
      </c>
      <c r="O446" s="42">
        <f>0.37*C446/100</f>
        <v>0.92500000000000004</v>
      </c>
      <c r="P446" s="49">
        <f>0.04*C446/100</f>
        <v>0.1</v>
      </c>
      <c r="Q446" s="49">
        <v>3.25</v>
      </c>
      <c r="R446" s="233">
        <v>110405</v>
      </c>
      <c r="S446" s="233">
        <v>110406</v>
      </c>
    </row>
    <row r="447" spans="1:19" s="63" customFormat="1" x14ac:dyDescent="0.2">
      <c r="A447" s="49">
        <v>3</v>
      </c>
      <c r="B447" s="47" t="s">
        <v>124</v>
      </c>
      <c r="C447" s="41">
        <v>10</v>
      </c>
      <c r="D447" s="42">
        <f>11.1*C447/100</f>
        <v>1.1100000000000001</v>
      </c>
      <c r="E447" s="42">
        <f>3.79*C447/100</f>
        <v>0.379</v>
      </c>
      <c r="F447" s="42">
        <f>76.15*C447/100</f>
        <v>7.6150000000000002</v>
      </c>
      <c r="G447" s="42">
        <f>390.39*C447/100</f>
        <v>39.038999999999994</v>
      </c>
      <c r="H447" s="42">
        <f>0.61*C447/100</f>
        <v>6.0999999999999999E-2</v>
      </c>
      <c r="I447" s="42">
        <f>0*C447/100</f>
        <v>0</v>
      </c>
      <c r="J447" s="42">
        <f>0*C447/100</f>
        <v>0</v>
      </c>
      <c r="K447" s="42">
        <f>0*C447/100</f>
        <v>0</v>
      </c>
      <c r="L447" s="48">
        <f>211.78*C447/100</f>
        <v>21.178000000000001</v>
      </c>
      <c r="M447" s="48">
        <f>0.25*C447/100</f>
        <v>2.5000000000000001E-2</v>
      </c>
      <c r="N447" s="48">
        <f>22.8*C447/100</f>
        <v>2.2799999999999998</v>
      </c>
      <c r="O447" s="42">
        <f>0.002*C447/100</f>
        <v>2.0000000000000001E-4</v>
      </c>
      <c r="P447" s="49">
        <f>0.44*C447/100</f>
        <v>4.4000000000000004E-2</v>
      </c>
      <c r="Q447" s="49">
        <v>0</v>
      </c>
      <c r="R447" s="233">
        <v>180601</v>
      </c>
      <c r="S447" s="233"/>
    </row>
    <row r="448" spans="1:19" s="63" customFormat="1" x14ac:dyDescent="0.2">
      <c r="A448" s="49">
        <v>4</v>
      </c>
      <c r="B448" s="47" t="s">
        <v>201</v>
      </c>
      <c r="C448" s="41">
        <v>100</v>
      </c>
      <c r="D448" s="42">
        <f>23*C448/100</f>
        <v>23</v>
      </c>
      <c r="E448" s="42">
        <f>14.9*C448/100</f>
        <v>14.9</v>
      </c>
      <c r="F448" s="42">
        <f>2.3*C448/100</f>
        <v>2.2999999999999998</v>
      </c>
      <c r="G448" s="42">
        <f>235.3*C448/100</f>
        <v>235.3</v>
      </c>
      <c r="H448" s="42">
        <f>0.08*C448/100</f>
        <v>0.08</v>
      </c>
      <c r="I448" s="42">
        <f>0*C448/100</f>
        <v>0</v>
      </c>
      <c r="J448" s="42">
        <f>0*C448/100</f>
        <v>0</v>
      </c>
      <c r="K448" s="42">
        <f>0.03*C448/100</f>
        <v>0.03</v>
      </c>
      <c r="L448" s="48">
        <f>21.6*C448/100</f>
        <v>21.6</v>
      </c>
      <c r="M448" s="48">
        <f>232.26*C448/100</f>
        <v>232.26</v>
      </c>
      <c r="N448" s="48">
        <f>32.27*C448/100</f>
        <v>32.270000000000003</v>
      </c>
      <c r="O448" s="42">
        <f>2.35*C448/100</f>
        <v>2.35</v>
      </c>
      <c r="P448" s="49">
        <f>0.2*C448/100</f>
        <v>0.2</v>
      </c>
      <c r="Q448" s="49">
        <v>3.25</v>
      </c>
      <c r="R448" s="233">
        <v>120509</v>
      </c>
      <c r="S448" s="233">
        <v>120510</v>
      </c>
    </row>
    <row r="449" spans="1:19" s="63" customFormat="1" x14ac:dyDescent="0.2">
      <c r="A449" s="49">
        <v>5</v>
      </c>
      <c r="B449" s="47" t="s">
        <v>118</v>
      </c>
      <c r="C449" s="41">
        <v>30</v>
      </c>
      <c r="D449" s="42">
        <f>0.6*C449/100</f>
        <v>0.18</v>
      </c>
      <c r="E449" s="42">
        <f>4.4*C449/100</f>
        <v>1.32</v>
      </c>
      <c r="F449" s="42">
        <f>6.6*C449/100</f>
        <v>1.98</v>
      </c>
      <c r="G449" s="42">
        <f>68.4*C449/100</f>
        <v>20.52</v>
      </c>
      <c r="H449" s="42">
        <f>0.3*C449/100</f>
        <v>0.09</v>
      </c>
      <c r="I449" s="42">
        <f>15*C449/100</f>
        <v>4.5</v>
      </c>
      <c r="J449" s="42">
        <f>0.35*C449/100</f>
        <v>0.105</v>
      </c>
      <c r="K449" s="42">
        <f>0*C449/100</f>
        <v>0</v>
      </c>
      <c r="L449" s="48">
        <v>0</v>
      </c>
      <c r="M449" s="48">
        <v>0</v>
      </c>
      <c r="N449" s="48">
        <v>0</v>
      </c>
      <c r="O449" s="42">
        <v>0</v>
      </c>
      <c r="P449" s="49">
        <f>0.3*C449/100</f>
        <v>0.09</v>
      </c>
      <c r="Q449" s="49">
        <f>1.3*C449/100</f>
        <v>0.39</v>
      </c>
      <c r="R449" s="233">
        <v>140101</v>
      </c>
      <c r="S449" s="231">
        <v>140102</v>
      </c>
    </row>
    <row r="450" spans="1:19" s="63" customFormat="1" x14ac:dyDescent="0.2">
      <c r="A450" s="49">
        <v>6</v>
      </c>
      <c r="B450" s="47" t="s">
        <v>113</v>
      </c>
      <c r="C450" s="41">
        <v>150</v>
      </c>
      <c r="D450" s="42">
        <f>3.22*C450/100</f>
        <v>4.830000000000001</v>
      </c>
      <c r="E450" s="42">
        <f>4.825*C450/100</f>
        <v>7.2374999999999998</v>
      </c>
      <c r="F450" s="42">
        <f>21.9*C450/100</f>
        <v>32.85</v>
      </c>
      <c r="G450" s="42">
        <f>140.5*C450/100</f>
        <v>210.75</v>
      </c>
      <c r="H450" s="42">
        <f>0.14*C450/100</f>
        <v>0.21000000000000005</v>
      </c>
      <c r="I450" s="42">
        <f>0*C450/100</f>
        <v>0</v>
      </c>
      <c r="J450" s="42">
        <f>0.02*C450/100</f>
        <v>0.03</v>
      </c>
      <c r="K450" s="42">
        <f>0.05*C450/100</f>
        <v>7.4999999999999997E-2</v>
      </c>
      <c r="L450" s="48">
        <f>12.38*C450/100</f>
        <v>18.570000000000004</v>
      </c>
      <c r="M450" s="48">
        <f>132.35*C450/100</f>
        <v>198.52500000000001</v>
      </c>
      <c r="N450" s="48">
        <f>88.86*C450/100</f>
        <v>133.29</v>
      </c>
      <c r="O450" s="42">
        <f>2.97*C450/100</f>
        <v>4.455000000000001</v>
      </c>
      <c r="P450" s="49">
        <f>0.075*C450/100</f>
        <v>0.1125</v>
      </c>
      <c r="Q450" s="49">
        <f>0.34*C450/100</f>
        <v>0.51000000000000012</v>
      </c>
      <c r="R450" s="233">
        <v>130309</v>
      </c>
      <c r="S450" s="233">
        <v>130310</v>
      </c>
    </row>
    <row r="451" spans="1:19" s="37" customFormat="1" x14ac:dyDescent="0.2">
      <c r="A451" s="49">
        <v>7</v>
      </c>
      <c r="B451" s="47" t="s">
        <v>126</v>
      </c>
      <c r="C451" s="41">
        <v>200</v>
      </c>
      <c r="D451" s="42">
        <f>0.08*C451/100</f>
        <v>0.16</v>
      </c>
      <c r="E451" s="42">
        <f>0.06*C451/100</f>
        <v>0.12</v>
      </c>
      <c r="F451" s="42">
        <f>8*C451/100</f>
        <v>16</v>
      </c>
      <c r="G451" s="42">
        <f>23.36*C451/100</f>
        <v>46.72</v>
      </c>
      <c r="H451" s="42">
        <f>0*C451/100</f>
        <v>0</v>
      </c>
      <c r="I451" s="42">
        <f>1*C451/100</f>
        <v>2</v>
      </c>
      <c r="J451" s="42">
        <f>0*C451/100</f>
        <v>0</v>
      </c>
      <c r="K451" s="42">
        <f>0.08*C451/100</f>
        <v>0.16</v>
      </c>
      <c r="L451" s="48">
        <f>7.96*C451/100</f>
        <v>15.92</v>
      </c>
      <c r="M451" s="48">
        <f>3.2*C451/100</f>
        <v>6.4</v>
      </c>
      <c r="N451" s="48">
        <f>3.3*C451/100</f>
        <v>6.6</v>
      </c>
      <c r="O451" s="42">
        <f>0.47*C451/100</f>
        <v>0.94</v>
      </c>
      <c r="P451" s="62">
        <f>0.01*C451/100</f>
        <v>0.02</v>
      </c>
      <c r="Q451" s="62">
        <v>2.3199999999999998</v>
      </c>
      <c r="R451" s="233">
        <v>160208</v>
      </c>
      <c r="S451" s="233"/>
    </row>
    <row r="452" spans="1:19" s="63" customFormat="1" x14ac:dyDescent="0.2">
      <c r="A452" s="49">
        <v>8</v>
      </c>
      <c r="B452" s="47" t="s">
        <v>160</v>
      </c>
      <c r="C452" s="41">
        <v>40</v>
      </c>
      <c r="D452" s="42">
        <f>7.76*C452/100</f>
        <v>3.1039999999999996</v>
      </c>
      <c r="E452" s="42">
        <f>2.65*C452/100</f>
        <v>1.06</v>
      </c>
      <c r="F452" s="42">
        <f>53.25*C452/100</f>
        <v>21.3</v>
      </c>
      <c r="G452" s="42">
        <f>273*C452/100</f>
        <v>109.2</v>
      </c>
      <c r="H452" s="42">
        <f>0.34*C452/100</f>
        <v>0.13600000000000001</v>
      </c>
      <c r="I452" s="42">
        <f>0*C452/100</f>
        <v>0</v>
      </c>
      <c r="J452" s="42">
        <v>0</v>
      </c>
      <c r="K452" s="42">
        <f>1.5*C452/100</f>
        <v>0.6</v>
      </c>
      <c r="L452" s="48">
        <f>148.1*C452/100</f>
        <v>59.24</v>
      </c>
      <c r="M452" s="48">
        <f>0*C452/100</f>
        <v>0</v>
      </c>
      <c r="N452" s="48">
        <f>16*C452/100</f>
        <v>6.4</v>
      </c>
      <c r="O452" s="42">
        <f>2.4*C452/100</f>
        <v>0.96</v>
      </c>
      <c r="P452" s="56">
        <f>0.2*C452/100</f>
        <v>0.08</v>
      </c>
      <c r="Q452" s="56">
        <f>1.5*C452/100</f>
        <v>0.6</v>
      </c>
      <c r="R452" s="233">
        <v>200102</v>
      </c>
      <c r="S452" s="233"/>
    </row>
    <row r="453" spans="1:19" s="63" customFormat="1" x14ac:dyDescent="0.2">
      <c r="A453" s="49">
        <v>9</v>
      </c>
      <c r="B453" s="47" t="s">
        <v>159</v>
      </c>
      <c r="C453" s="41">
        <v>20</v>
      </c>
      <c r="D453" s="42">
        <f>5.86*C453/100</f>
        <v>1.1719999999999999</v>
      </c>
      <c r="E453" s="42">
        <f>0.94*C453/100</f>
        <v>0.18799999999999997</v>
      </c>
      <c r="F453" s="42">
        <f>44.4*C453/100</f>
        <v>8.8800000000000008</v>
      </c>
      <c r="G453" s="42">
        <f>189*C453/100</f>
        <v>37.799999999999997</v>
      </c>
      <c r="H453" s="42">
        <f>0.4*C453/100</f>
        <v>0.08</v>
      </c>
      <c r="I453" s="42">
        <f>0.03*C453/100</f>
        <v>6.0000000000000001E-3</v>
      </c>
      <c r="J453" s="42">
        <v>0</v>
      </c>
      <c r="K453" s="42">
        <f>1.7*C453/100</f>
        <v>0.34</v>
      </c>
      <c r="L453" s="48">
        <f>25.4*C453/100</f>
        <v>5.08</v>
      </c>
      <c r="M453" s="48">
        <f>105.53*C453/100</f>
        <v>21.105999999999998</v>
      </c>
      <c r="N453" s="48">
        <f>36.5*C453/100</f>
        <v>7.3</v>
      </c>
      <c r="O453" s="42">
        <f>2.45*C453/100</f>
        <v>0.49</v>
      </c>
      <c r="P453" s="56">
        <f>0.2*C453/100</f>
        <v>0.04</v>
      </c>
      <c r="Q453" s="56">
        <f>10*C453/100</f>
        <v>2</v>
      </c>
      <c r="R453" s="233">
        <v>200103</v>
      </c>
      <c r="S453" s="233"/>
    </row>
    <row r="454" spans="1:19" s="37" customFormat="1" x14ac:dyDescent="0.2">
      <c r="A454" s="49"/>
      <c r="B454" s="132" t="s">
        <v>4</v>
      </c>
      <c r="C454" s="120"/>
      <c r="D454" s="168">
        <f t="shared" ref="D454:Q454" si="78">SUM(D445:D453)</f>
        <v>37.071999999999996</v>
      </c>
      <c r="E454" s="168">
        <f t="shared" si="78"/>
        <v>38.276499999999999</v>
      </c>
      <c r="F454" s="168">
        <f t="shared" si="78"/>
        <v>113.63499999999999</v>
      </c>
      <c r="G454" s="168">
        <f t="shared" si="78"/>
        <v>922.45699999999999</v>
      </c>
      <c r="H454" s="168">
        <f t="shared" si="78"/>
        <v>0.78100000000000003</v>
      </c>
      <c r="I454" s="168">
        <f t="shared" si="78"/>
        <v>39.889000000000003</v>
      </c>
      <c r="J454" s="168">
        <f t="shared" si="78"/>
        <v>0.16</v>
      </c>
      <c r="K454" s="168">
        <f t="shared" si="78"/>
        <v>3.2440000000000002</v>
      </c>
      <c r="L454" s="167">
        <f t="shared" si="78"/>
        <v>189.84600000000003</v>
      </c>
      <c r="M454" s="167">
        <f t="shared" si="78"/>
        <v>544.14299999999992</v>
      </c>
      <c r="N454" s="167">
        <f t="shared" si="78"/>
        <v>226.81900000000002</v>
      </c>
      <c r="O454" s="168">
        <f t="shared" si="78"/>
        <v>10.5222</v>
      </c>
      <c r="P454" s="125">
        <f t="shared" si="78"/>
        <v>0.70450000000000002</v>
      </c>
      <c r="Q454" s="125">
        <f t="shared" si="78"/>
        <v>13.45</v>
      </c>
      <c r="R454" s="233"/>
      <c r="S454" s="233"/>
    </row>
    <row r="455" spans="1:19" s="37" customFormat="1" x14ac:dyDescent="0.2">
      <c r="A455" s="299" t="s">
        <v>35</v>
      </c>
      <c r="B455" s="299"/>
      <c r="C455" s="299"/>
      <c r="D455" s="299"/>
      <c r="E455" s="299"/>
      <c r="F455" s="299"/>
      <c r="G455" s="280"/>
      <c r="H455" s="280"/>
      <c r="I455" s="280"/>
      <c r="J455" s="280"/>
      <c r="K455" s="280"/>
      <c r="L455" s="280"/>
      <c r="M455" s="280"/>
      <c r="N455" s="280"/>
      <c r="O455" s="280"/>
      <c r="P455" s="280"/>
      <c r="Q455" s="280"/>
      <c r="R455" s="280"/>
      <c r="S455" s="280"/>
    </row>
    <row r="456" spans="1:19" s="63" customFormat="1" ht="37.5" x14ac:dyDescent="0.2">
      <c r="A456" s="173">
        <v>1</v>
      </c>
      <c r="B456" s="47" t="s">
        <v>251</v>
      </c>
      <c r="C456" s="41">
        <v>50</v>
      </c>
      <c r="D456" s="42">
        <f>9.9*C456/100</f>
        <v>4.95</v>
      </c>
      <c r="E456" s="42">
        <f>5.3*C456/100</f>
        <v>2.65</v>
      </c>
      <c r="F456" s="42">
        <f>55*C456/100</f>
        <v>27.5</v>
      </c>
      <c r="G456" s="43">
        <f>308*C456/100</f>
        <v>154</v>
      </c>
      <c r="H456" s="44">
        <f>0.34*C456/100</f>
        <v>0.17</v>
      </c>
      <c r="I456" s="42">
        <f>0*C456/100</f>
        <v>0</v>
      </c>
      <c r="J456" s="42">
        <v>0</v>
      </c>
      <c r="K456" s="42">
        <f>1.5*C456/100</f>
        <v>0.75</v>
      </c>
      <c r="L456" s="48">
        <f>148.1*C456/100</f>
        <v>74.05</v>
      </c>
      <c r="M456" s="48">
        <f>0*C456/100</f>
        <v>0</v>
      </c>
      <c r="N456" s="48">
        <f>16*C456/100</f>
        <v>8</v>
      </c>
      <c r="O456" s="45">
        <f>2.4*C456/100</f>
        <v>1.2</v>
      </c>
      <c r="P456" s="61">
        <f>0.2*C456/100</f>
        <v>0.1</v>
      </c>
      <c r="Q456" s="56">
        <v>0</v>
      </c>
      <c r="R456" s="231" t="s">
        <v>252</v>
      </c>
      <c r="S456" s="242">
        <v>190215</v>
      </c>
    </row>
    <row r="457" spans="1:19" s="63" customFormat="1" x14ac:dyDescent="0.2">
      <c r="A457" s="49">
        <v>2</v>
      </c>
      <c r="B457" s="47" t="s">
        <v>233</v>
      </c>
      <c r="C457" s="41">
        <v>200</v>
      </c>
      <c r="D457" s="166">
        <f>0*C457/100</f>
        <v>0</v>
      </c>
      <c r="E457" s="166">
        <f>0*C457/100</f>
        <v>0</v>
      </c>
      <c r="F457" s="166">
        <f>0*C457/100</f>
        <v>0</v>
      </c>
      <c r="G457" s="166">
        <f>17*C457/100</f>
        <v>34</v>
      </c>
      <c r="H457" s="42">
        <v>0</v>
      </c>
      <c r="I457" s="42">
        <v>0</v>
      </c>
      <c r="J457" s="42">
        <v>0</v>
      </c>
      <c r="K457" s="42">
        <v>0</v>
      </c>
      <c r="L457" s="48">
        <v>4.8600000000000003</v>
      </c>
      <c r="M457" s="48">
        <v>0</v>
      </c>
      <c r="N457" s="48">
        <v>1.08</v>
      </c>
      <c r="O457" s="42">
        <v>0</v>
      </c>
      <c r="P457" s="49">
        <v>0</v>
      </c>
      <c r="Q457" s="49">
        <v>0</v>
      </c>
      <c r="R457" s="233">
        <v>160107</v>
      </c>
      <c r="S457" s="233"/>
    </row>
    <row r="458" spans="1:19" s="63" customFormat="1" x14ac:dyDescent="0.3">
      <c r="A458" s="49">
        <v>3</v>
      </c>
      <c r="B458" s="47" t="s">
        <v>140</v>
      </c>
      <c r="C458" s="41">
        <v>10</v>
      </c>
      <c r="D458" s="166">
        <f>0*C458/100</f>
        <v>0</v>
      </c>
      <c r="E458" s="166">
        <f>0*C458/100</f>
        <v>0</v>
      </c>
      <c r="F458" s="166">
        <f>99.8*C458/100</f>
        <v>9.98</v>
      </c>
      <c r="G458" s="166">
        <f>374.3*C458/100</f>
        <v>37.43</v>
      </c>
      <c r="H458" s="42">
        <v>0</v>
      </c>
      <c r="I458" s="42">
        <v>0</v>
      </c>
      <c r="J458" s="42">
        <v>0</v>
      </c>
      <c r="K458" s="42">
        <v>0</v>
      </c>
      <c r="L458" s="42">
        <v>0.2</v>
      </c>
      <c r="M458" s="42">
        <v>0</v>
      </c>
      <c r="N458" s="42">
        <v>0</v>
      </c>
      <c r="O458" s="42">
        <v>0.03</v>
      </c>
      <c r="P458" s="55">
        <v>0</v>
      </c>
      <c r="Q458" s="55">
        <v>0</v>
      </c>
      <c r="R458" s="233"/>
      <c r="S458" s="233"/>
    </row>
    <row r="459" spans="1:19" s="37" customFormat="1" x14ac:dyDescent="0.2">
      <c r="A459" s="49"/>
      <c r="B459" s="151" t="s">
        <v>4</v>
      </c>
      <c r="C459" s="109"/>
      <c r="D459" s="169">
        <f t="shared" ref="D459:Q459" si="79">SUM(D456:D458)</f>
        <v>4.95</v>
      </c>
      <c r="E459" s="169">
        <f t="shared" si="79"/>
        <v>2.65</v>
      </c>
      <c r="F459" s="169">
        <f t="shared" si="79"/>
        <v>37.480000000000004</v>
      </c>
      <c r="G459" s="169">
        <f t="shared" si="79"/>
        <v>225.43</v>
      </c>
      <c r="H459" s="169">
        <f t="shared" si="79"/>
        <v>0.17</v>
      </c>
      <c r="I459" s="169">
        <f t="shared" si="79"/>
        <v>0</v>
      </c>
      <c r="J459" s="169">
        <f t="shared" si="79"/>
        <v>0</v>
      </c>
      <c r="K459" s="169">
        <f t="shared" si="79"/>
        <v>0.75</v>
      </c>
      <c r="L459" s="152">
        <f t="shared" si="79"/>
        <v>79.11</v>
      </c>
      <c r="M459" s="152">
        <f t="shared" si="79"/>
        <v>0</v>
      </c>
      <c r="N459" s="152">
        <f t="shared" si="79"/>
        <v>9.08</v>
      </c>
      <c r="O459" s="169">
        <f t="shared" si="79"/>
        <v>1.23</v>
      </c>
      <c r="P459" s="125">
        <f t="shared" si="79"/>
        <v>0.1</v>
      </c>
      <c r="Q459" s="125">
        <f t="shared" si="79"/>
        <v>0</v>
      </c>
      <c r="R459" s="233"/>
      <c r="S459" s="233"/>
    </row>
    <row r="460" spans="1:19" s="37" customFormat="1" x14ac:dyDescent="0.2">
      <c r="A460" s="49"/>
      <c r="B460" s="132" t="s">
        <v>7</v>
      </c>
      <c r="C460" s="120"/>
      <c r="D460" s="168">
        <f t="shared" ref="D460:Q460" si="80">D443+D454+D459</f>
        <v>58.954000000000001</v>
      </c>
      <c r="E460" s="168">
        <f t="shared" si="80"/>
        <v>67.234499999999997</v>
      </c>
      <c r="F460" s="168">
        <f t="shared" si="80"/>
        <v>200.99900000000002</v>
      </c>
      <c r="G460" s="168">
        <f t="shared" si="80"/>
        <v>1659.6670000000001</v>
      </c>
      <c r="H460" s="168">
        <f t="shared" si="80"/>
        <v>1.1474</v>
      </c>
      <c r="I460" s="168">
        <f t="shared" si="80"/>
        <v>232.114</v>
      </c>
      <c r="J460" s="168">
        <f t="shared" si="80"/>
        <v>0.19</v>
      </c>
      <c r="K460" s="168">
        <f t="shared" si="80"/>
        <v>5.149</v>
      </c>
      <c r="L460" s="167">
        <f t="shared" si="80"/>
        <v>455.73100000000005</v>
      </c>
      <c r="M460" s="167">
        <f t="shared" si="80"/>
        <v>630.42799999999988</v>
      </c>
      <c r="N460" s="167">
        <f t="shared" si="80"/>
        <v>295.67899999999997</v>
      </c>
      <c r="O460" s="168">
        <f t="shared" si="80"/>
        <v>15.372199999999999</v>
      </c>
      <c r="P460" s="168">
        <f t="shared" si="80"/>
        <v>1.0377000000000001</v>
      </c>
      <c r="Q460" s="168">
        <f t="shared" si="80"/>
        <v>35.700000000000003</v>
      </c>
      <c r="R460" s="233"/>
      <c r="S460" s="233"/>
    </row>
    <row r="461" spans="1:19" s="37" customFormat="1" x14ac:dyDescent="0.2">
      <c r="A461" s="279" t="s">
        <v>59</v>
      </c>
      <c r="B461" s="279"/>
      <c r="C461" s="279"/>
      <c r="D461" s="279"/>
      <c r="E461" s="279"/>
      <c r="F461" s="279"/>
      <c r="G461" s="280"/>
      <c r="H461" s="280"/>
      <c r="I461" s="280"/>
      <c r="J461" s="280"/>
      <c r="K461" s="280"/>
      <c r="L461" s="280"/>
      <c r="M461" s="280"/>
      <c r="N461" s="280"/>
      <c r="O461" s="280"/>
      <c r="P461" s="280"/>
      <c r="Q461" s="280"/>
      <c r="R461" s="280"/>
      <c r="S461" s="280"/>
    </row>
    <row r="462" spans="1:19" s="37" customFormat="1" x14ac:dyDescent="0.2">
      <c r="A462" s="279" t="s">
        <v>3</v>
      </c>
      <c r="B462" s="279"/>
      <c r="C462" s="279"/>
      <c r="D462" s="279"/>
      <c r="E462" s="279"/>
      <c r="F462" s="279"/>
      <c r="G462" s="280"/>
      <c r="H462" s="280"/>
      <c r="I462" s="280"/>
      <c r="J462" s="280"/>
      <c r="K462" s="280"/>
      <c r="L462" s="280"/>
      <c r="M462" s="280"/>
      <c r="N462" s="280"/>
      <c r="O462" s="280"/>
      <c r="P462" s="280"/>
      <c r="Q462" s="280"/>
      <c r="R462" s="280"/>
      <c r="S462" s="280"/>
    </row>
    <row r="463" spans="1:19" s="63" customFormat="1" x14ac:dyDescent="0.2">
      <c r="A463" s="49">
        <v>1</v>
      </c>
      <c r="B463" s="47" t="s">
        <v>14</v>
      </c>
      <c r="C463" s="41">
        <v>150</v>
      </c>
      <c r="D463" s="176">
        <f>14.2*C463/100</f>
        <v>21.3</v>
      </c>
      <c r="E463" s="176">
        <f>9.6*C463/100</f>
        <v>14.4</v>
      </c>
      <c r="F463" s="176">
        <f>14.4*C463/100</f>
        <v>21.6</v>
      </c>
      <c r="G463" s="176">
        <f>200.8*C463/100</f>
        <v>301.2</v>
      </c>
      <c r="H463" s="42">
        <f>0.06*C463/100</f>
        <v>0.09</v>
      </c>
      <c r="I463" s="42">
        <f>0.22*C463/100</f>
        <v>0.33</v>
      </c>
      <c r="J463" s="42">
        <f>0.07*C463/100</f>
        <v>0.10500000000000002</v>
      </c>
      <c r="K463" s="42">
        <f>0.44*C463/100</f>
        <v>0.66</v>
      </c>
      <c r="L463" s="48">
        <f>140.96*C463/100</f>
        <v>211.44</v>
      </c>
      <c r="M463" s="48">
        <f>205.55*C463/100</f>
        <v>308.32499999999999</v>
      </c>
      <c r="N463" s="48">
        <f>20.84*C463/100</f>
        <v>31.26</v>
      </c>
      <c r="O463" s="42">
        <f>0.66*C463/100</f>
        <v>0.99</v>
      </c>
      <c r="P463" s="49">
        <f>0.25*C463/100</f>
        <v>0.375</v>
      </c>
      <c r="Q463" s="49">
        <f>1.61*C463/100</f>
        <v>2.4150000000000005</v>
      </c>
      <c r="R463" s="233">
        <v>120313</v>
      </c>
      <c r="S463" s="233">
        <v>120314</v>
      </c>
    </row>
    <row r="464" spans="1:19" s="63" customFormat="1" x14ac:dyDescent="0.2">
      <c r="A464" s="49">
        <v>2</v>
      </c>
      <c r="B464" s="47" t="s">
        <v>184</v>
      </c>
      <c r="C464" s="41">
        <v>20</v>
      </c>
      <c r="D464" s="176">
        <f>0.6*C464/100</f>
        <v>0.12</v>
      </c>
      <c r="E464" s="176">
        <v>0</v>
      </c>
      <c r="F464" s="176">
        <f>33*C464/100</f>
        <v>6.6</v>
      </c>
      <c r="G464" s="176">
        <f>134.4*C464/100</f>
        <v>26.88</v>
      </c>
      <c r="H464" s="42">
        <f>0.05*C464/100</f>
        <v>0.01</v>
      </c>
      <c r="I464" s="42">
        <f>0.36*C464/100</f>
        <v>7.1999999999999995E-2</v>
      </c>
      <c r="J464" s="42">
        <f>0.07*C464/100</f>
        <v>1.4000000000000002E-2</v>
      </c>
      <c r="K464" s="42">
        <f>1.52*C464/100</f>
        <v>0.30399999999999999</v>
      </c>
      <c r="L464" s="48">
        <f>126.98*C464/100</f>
        <v>25.396000000000001</v>
      </c>
      <c r="M464" s="48">
        <f>181.58*C464/100</f>
        <v>36.316000000000003</v>
      </c>
      <c r="N464" s="48">
        <f>19.59*C464/100</f>
        <v>3.9180000000000001</v>
      </c>
      <c r="O464" s="42">
        <f>0.6*C464/100</f>
        <v>0.12</v>
      </c>
      <c r="P464" s="49">
        <v>0.25</v>
      </c>
      <c r="Q464" s="49">
        <v>0.48</v>
      </c>
      <c r="R464" s="233"/>
      <c r="S464" s="233">
        <v>140205</v>
      </c>
    </row>
    <row r="465" spans="1:19" s="63" customFormat="1" x14ac:dyDescent="0.2">
      <c r="A465" s="49">
        <v>3</v>
      </c>
      <c r="B465" s="47" t="s">
        <v>163</v>
      </c>
      <c r="C465" s="41">
        <v>200</v>
      </c>
      <c r="D465" s="60">
        <f>3.05*C465/100</f>
        <v>6.1</v>
      </c>
      <c r="E465" s="60">
        <f>3.11*C465/100</f>
        <v>6.22</v>
      </c>
      <c r="F465" s="60">
        <f>9.83*C465/100</f>
        <v>19.66</v>
      </c>
      <c r="G465" s="60">
        <f>79.2*C465/100</f>
        <v>158.4</v>
      </c>
      <c r="H465" s="42">
        <f>0.26*C465/100</f>
        <v>0.52</v>
      </c>
      <c r="I465" s="42">
        <f>14.61*C465/100</f>
        <v>29.22</v>
      </c>
      <c r="J465" s="42">
        <f>0.4*C465/100</f>
        <v>0.8</v>
      </c>
      <c r="K465" s="42">
        <v>0</v>
      </c>
      <c r="L465" s="48">
        <f>24.96*C465/100</f>
        <v>49.92</v>
      </c>
      <c r="M465" s="48">
        <v>0</v>
      </c>
      <c r="N465" s="48">
        <f>0.1*C465/100</f>
        <v>0.2</v>
      </c>
      <c r="O465" s="42">
        <v>0</v>
      </c>
      <c r="P465" s="49">
        <v>0.14000000000000001</v>
      </c>
      <c r="Q465" s="49">
        <v>7.68</v>
      </c>
      <c r="R465" s="237">
        <v>160101</v>
      </c>
      <c r="S465" s="233">
        <v>160102</v>
      </c>
    </row>
    <row r="466" spans="1:19" s="63" customFormat="1" x14ac:dyDescent="0.2">
      <c r="A466" s="49">
        <v>4</v>
      </c>
      <c r="B466" s="47" t="s">
        <v>160</v>
      </c>
      <c r="C466" s="41">
        <v>20</v>
      </c>
      <c r="D466" s="42">
        <f>7.76*C466/100</f>
        <v>1.5519999999999998</v>
      </c>
      <c r="E466" s="42">
        <f>2.65*C466/100</f>
        <v>0.53</v>
      </c>
      <c r="F466" s="42">
        <f>53.25*C466/100</f>
        <v>10.65</v>
      </c>
      <c r="G466" s="42">
        <f>273*C466/100</f>
        <v>54.6</v>
      </c>
      <c r="H466" s="42">
        <f>0.34*C466/100</f>
        <v>6.8000000000000005E-2</v>
      </c>
      <c r="I466" s="42">
        <f>0*C466/100</f>
        <v>0</v>
      </c>
      <c r="J466" s="42">
        <v>0</v>
      </c>
      <c r="K466" s="42">
        <f>1.5*C466/100</f>
        <v>0.3</v>
      </c>
      <c r="L466" s="48">
        <f>148.1*C466/100</f>
        <v>29.62</v>
      </c>
      <c r="M466" s="48">
        <f>0*C466/100</f>
        <v>0</v>
      </c>
      <c r="N466" s="48">
        <f>16*C466/100</f>
        <v>3.2</v>
      </c>
      <c r="O466" s="42">
        <f>2.4*C466/100</f>
        <v>0.48</v>
      </c>
      <c r="P466" s="56">
        <f>0.2*C466/100</f>
        <v>0.04</v>
      </c>
      <c r="Q466" s="56">
        <f>1.5*C466/100</f>
        <v>0.3</v>
      </c>
      <c r="R466" s="233">
        <v>200102</v>
      </c>
      <c r="S466" s="233"/>
    </row>
    <row r="467" spans="1:19" s="63" customFormat="1" ht="37.5" x14ac:dyDescent="0.2">
      <c r="A467" s="49">
        <v>5</v>
      </c>
      <c r="B467" s="47" t="s">
        <v>164</v>
      </c>
      <c r="C467" s="41">
        <v>10</v>
      </c>
      <c r="D467" s="42">
        <f>0.5*C467/100</f>
        <v>0.05</v>
      </c>
      <c r="E467" s="42">
        <f>82.5*C467/100</f>
        <v>8.25</v>
      </c>
      <c r="F467" s="42">
        <f>0.8*C467/100</f>
        <v>0.08</v>
      </c>
      <c r="G467" s="42">
        <f>748*C467/100</f>
        <v>74.8</v>
      </c>
      <c r="H467" s="42">
        <v>0</v>
      </c>
      <c r="I467" s="42">
        <v>0</v>
      </c>
      <c r="J467" s="42">
        <f>0.4*C467/100</f>
        <v>0.04</v>
      </c>
      <c r="K467" s="42">
        <f>1*C467/100</f>
        <v>0.1</v>
      </c>
      <c r="L467" s="48">
        <f>12*C467/100</f>
        <v>1.2</v>
      </c>
      <c r="M467" s="48">
        <f>19*C467/100</f>
        <v>1.9</v>
      </c>
      <c r="N467" s="48">
        <f>0*C467/100</f>
        <v>0</v>
      </c>
      <c r="O467" s="42">
        <f>0.2*C467/100</f>
        <v>0.02</v>
      </c>
      <c r="P467" s="56">
        <f>0.1*C467/100</f>
        <v>0.01</v>
      </c>
      <c r="Q467" s="49">
        <v>0</v>
      </c>
      <c r="R467" s="233"/>
      <c r="S467" s="233"/>
    </row>
    <row r="468" spans="1:19" s="37" customFormat="1" x14ac:dyDescent="0.2">
      <c r="A468" s="49"/>
      <c r="B468" s="132" t="s">
        <v>4</v>
      </c>
      <c r="C468" s="120"/>
      <c r="D468" s="169">
        <f t="shared" ref="D468:Q468" si="81">SUM(D463:D467)</f>
        <v>29.122000000000003</v>
      </c>
      <c r="E468" s="169">
        <f t="shared" si="81"/>
        <v>29.400000000000002</v>
      </c>
      <c r="F468" s="169">
        <f t="shared" si="81"/>
        <v>58.589999999999996</v>
      </c>
      <c r="G468" s="169">
        <f t="shared" si="81"/>
        <v>615.88</v>
      </c>
      <c r="H468" s="169">
        <f t="shared" si="81"/>
        <v>0.68799999999999994</v>
      </c>
      <c r="I468" s="169">
        <f t="shared" si="81"/>
        <v>29.622</v>
      </c>
      <c r="J468" s="169">
        <f t="shared" si="81"/>
        <v>0.95900000000000007</v>
      </c>
      <c r="K468" s="169">
        <f t="shared" si="81"/>
        <v>1.3640000000000001</v>
      </c>
      <c r="L468" s="152">
        <f t="shared" si="81"/>
        <v>317.57600000000002</v>
      </c>
      <c r="M468" s="152">
        <f t="shared" si="81"/>
        <v>346.54099999999994</v>
      </c>
      <c r="N468" s="152">
        <f t="shared" si="81"/>
        <v>38.57800000000001</v>
      </c>
      <c r="O468" s="169">
        <f t="shared" si="81"/>
        <v>1.6099999999999999</v>
      </c>
      <c r="P468" s="125">
        <f t="shared" si="81"/>
        <v>0.81500000000000006</v>
      </c>
      <c r="Q468" s="125">
        <f t="shared" si="81"/>
        <v>10.875</v>
      </c>
      <c r="R468" s="233"/>
      <c r="S468" s="233"/>
    </row>
    <row r="469" spans="1:19" s="37" customFormat="1" ht="18" x14ac:dyDescent="0.2">
      <c r="A469" s="279" t="s">
        <v>5</v>
      </c>
      <c r="B469" s="280"/>
      <c r="C469" s="280"/>
      <c r="D469" s="280"/>
      <c r="E469" s="280"/>
      <c r="F469" s="280"/>
      <c r="G469" s="280"/>
      <c r="H469" s="280"/>
      <c r="I469" s="280"/>
      <c r="J469" s="280"/>
      <c r="K469" s="280"/>
      <c r="L469" s="280"/>
      <c r="M469" s="280"/>
      <c r="N469" s="280"/>
      <c r="O469" s="280"/>
      <c r="P469" s="280"/>
      <c r="Q469" s="280"/>
      <c r="R469" s="280"/>
      <c r="S469" s="280"/>
    </row>
    <row r="470" spans="1:19" s="63" customFormat="1" ht="37.5" x14ac:dyDescent="0.2">
      <c r="A470" s="49">
        <v>1</v>
      </c>
      <c r="B470" s="47" t="s">
        <v>207</v>
      </c>
      <c r="C470" s="182">
        <v>60</v>
      </c>
      <c r="D470" s="42">
        <f>1.9*C470/100</f>
        <v>1.1399999999999999</v>
      </c>
      <c r="E470" s="42">
        <f>7.69*C470/100</f>
        <v>4.6140000000000008</v>
      </c>
      <c r="F470" s="42">
        <f>3.84*C470/100</f>
        <v>2.3039999999999998</v>
      </c>
      <c r="G470" s="42">
        <f>93.48*C470/100</f>
        <v>56.088000000000001</v>
      </c>
      <c r="H470" s="94">
        <f>0.06*C470/100</f>
        <v>3.5999999999999997E-2</v>
      </c>
      <c r="I470" s="94">
        <f>27.25*C470/100</f>
        <v>16.350000000000001</v>
      </c>
      <c r="J470" s="94">
        <v>0</v>
      </c>
      <c r="K470" s="94">
        <f>0.06*C470/100</f>
        <v>3.5999999999999997E-2</v>
      </c>
      <c r="L470" s="124">
        <f>27.09*C470/100</f>
        <v>16.254000000000001</v>
      </c>
      <c r="M470" s="124">
        <f>33.23*C470/100</f>
        <v>19.937999999999999</v>
      </c>
      <c r="N470" s="124">
        <f>16.89*C470/100</f>
        <v>10.134</v>
      </c>
      <c r="O470" s="94">
        <f>1.04*C470/100</f>
        <v>0.62400000000000011</v>
      </c>
      <c r="P470" s="49">
        <f>0.08*C470/100</f>
        <v>4.8000000000000001E-2</v>
      </c>
      <c r="Q470" s="49">
        <v>1.1299999999999999</v>
      </c>
      <c r="R470" s="233">
        <v>100509</v>
      </c>
      <c r="S470" s="233"/>
    </row>
    <row r="471" spans="1:19" s="63" customFormat="1" x14ac:dyDescent="0.2">
      <c r="A471" s="49">
        <v>2</v>
      </c>
      <c r="B471" s="47" t="s">
        <v>72</v>
      </c>
      <c r="C471" s="41">
        <v>250</v>
      </c>
      <c r="D471" s="42">
        <f>0.8*C471/100</f>
        <v>2</v>
      </c>
      <c r="E471" s="42">
        <f>1.5*C471/100</f>
        <v>3.75</v>
      </c>
      <c r="F471" s="42">
        <f>5*C471/100</f>
        <v>12.5</v>
      </c>
      <c r="G471" s="42">
        <f>36.7*C471/100</f>
        <v>91.75</v>
      </c>
      <c r="H471" s="42">
        <f>0.02*C471/100</f>
        <v>0.05</v>
      </c>
      <c r="I471" s="42">
        <f>1.23*C471/100</f>
        <v>3.0750000000000002</v>
      </c>
      <c r="J471" s="42">
        <f>0.01*C471/100</f>
        <v>2.5000000000000001E-2</v>
      </c>
      <c r="K471" s="42">
        <f>0.05*C471/100</f>
        <v>0.125</v>
      </c>
      <c r="L471" s="48">
        <f>6.7*C471/100</f>
        <v>16.75</v>
      </c>
      <c r="M471" s="48">
        <f>33.69*C471/100</f>
        <v>84.224999999999994</v>
      </c>
      <c r="N471" s="48">
        <f>6.12*C471/100</f>
        <v>15.3</v>
      </c>
      <c r="O471" s="42">
        <f>0.81*C471/100</f>
        <v>2.0249999999999999</v>
      </c>
      <c r="P471" s="49">
        <f>0.02*C471/100</f>
        <v>0.05</v>
      </c>
      <c r="Q471" s="49">
        <v>39.43</v>
      </c>
      <c r="R471" s="233">
        <v>110318</v>
      </c>
      <c r="S471" s="233">
        <v>110319</v>
      </c>
    </row>
    <row r="472" spans="1:19" s="63" customFormat="1" x14ac:dyDescent="0.2">
      <c r="A472" s="49">
        <v>3</v>
      </c>
      <c r="B472" s="47" t="s">
        <v>193</v>
      </c>
      <c r="C472" s="41">
        <v>100</v>
      </c>
      <c r="D472" s="42">
        <f>14*C472/100</f>
        <v>14</v>
      </c>
      <c r="E472" s="42">
        <f>7.1*C472/100</f>
        <v>7.1</v>
      </c>
      <c r="F472" s="42">
        <f>14.2*C472/100</f>
        <v>14.2</v>
      </c>
      <c r="G472" s="42">
        <f>176.7*C472/100</f>
        <v>176.7</v>
      </c>
      <c r="H472" s="42">
        <f>0.1*C472/100</f>
        <v>0.1</v>
      </c>
      <c r="I472" s="42">
        <f>1.2*C472/100</f>
        <v>1.2</v>
      </c>
      <c r="J472" s="42">
        <f>0.05*C472/100</f>
        <v>0.05</v>
      </c>
      <c r="K472" s="42">
        <f>0.43*C472/100</f>
        <v>0.43</v>
      </c>
      <c r="L472" s="48">
        <f>17.62*C472/100</f>
        <v>17.62</v>
      </c>
      <c r="M472" s="48">
        <f>238.11*C472/100</f>
        <v>238.11</v>
      </c>
      <c r="N472" s="48">
        <f>25.98*C472/100</f>
        <v>25.98</v>
      </c>
      <c r="O472" s="42">
        <f>1.92*C472/100</f>
        <v>1.92</v>
      </c>
      <c r="P472" s="49">
        <f>0.26*C472/100</f>
        <v>0.26</v>
      </c>
      <c r="Q472" s="49">
        <v>3.83</v>
      </c>
      <c r="R472" s="233">
        <v>120615</v>
      </c>
      <c r="S472" s="233">
        <v>120616</v>
      </c>
    </row>
    <row r="473" spans="1:19" s="63" customFormat="1" x14ac:dyDescent="0.2">
      <c r="A473" s="49">
        <v>4</v>
      </c>
      <c r="B473" s="47" t="s">
        <v>136</v>
      </c>
      <c r="C473" s="41">
        <v>150</v>
      </c>
      <c r="D473" s="42">
        <f>1.6*C473/100</f>
        <v>2.4</v>
      </c>
      <c r="E473" s="42">
        <f>3.1*C473/100</f>
        <v>4.6500000000000004</v>
      </c>
      <c r="F473" s="42">
        <f>10.1*C473/100</f>
        <v>15.15</v>
      </c>
      <c r="G473" s="42">
        <f>75*C473/100</f>
        <v>112.5</v>
      </c>
      <c r="H473" s="94">
        <f>0.05*C473/100</f>
        <v>7.4999999999999997E-2</v>
      </c>
      <c r="I473" s="94">
        <f>6.26*C473/100</f>
        <v>9.39</v>
      </c>
      <c r="J473" s="94">
        <f>0*C473/100</f>
        <v>0</v>
      </c>
      <c r="K473" s="94">
        <f>1.98*C473/100</f>
        <v>2.97</v>
      </c>
      <c r="L473" s="124">
        <f>21.42*C473/100</f>
        <v>32.130000000000003</v>
      </c>
      <c r="M473" s="124">
        <f>45.07*C473/100</f>
        <v>67.605000000000004</v>
      </c>
      <c r="N473" s="124">
        <f>19.28*C473/100</f>
        <v>28.92</v>
      </c>
      <c r="O473" s="94">
        <f>0.71*C473/100</f>
        <v>1.0649999999999999</v>
      </c>
      <c r="P473" s="49">
        <f>0.05*C473/100</f>
        <v>7.4999999999999997E-2</v>
      </c>
      <c r="Q473" s="49">
        <v>4.8899999999999997</v>
      </c>
      <c r="R473" s="233">
        <v>130203</v>
      </c>
      <c r="S473" s="233">
        <v>130204</v>
      </c>
    </row>
    <row r="474" spans="1:19" s="37" customFormat="1" x14ac:dyDescent="0.2">
      <c r="A474" s="49">
        <v>5</v>
      </c>
      <c r="B474" s="47" t="s">
        <v>138</v>
      </c>
      <c r="C474" s="41">
        <v>200</v>
      </c>
      <c r="D474" s="42">
        <f>0.08*C474/100</f>
        <v>0.16</v>
      </c>
      <c r="E474" s="42">
        <f>0.08*C474/100</f>
        <v>0.16</v>
      </c>
      <c r="F474" s="42">
        <f>7.9*C474/100</f>
        <v>15.8</v>
      </c>
      <c r="G474" s="42">
        <f>23.36*C474/100</f>
        <v>46.72</v>
      </c>
      <c r="H474" s="42">
        <f>0.13*C474/100</f>
        <v>0.26</v>
      </c>
      <c r="I474" s="42">
        <f>10.15*C474/100</f>
        <v>20.3</v>
      </c>
      <c r="J474" s="42">
        <f>0.05*C474/100</f>
        <v>0.1</v>
      </c>
      <c r="K474" s="42">
        <f>1.04*C474/100</f>
        <v>2.08</v>
      </c>
      <c r="L474" s="48">
        <f>7.36*C474/100</f>
        <v>14.72</v>
      </c>
      <c r="M474" s="48">
        <f>2.2*C474/100</f>
        <v>4.4000000000000004</v>
      </c>
      <c r="N474" s="48">
        <f>2.7*C474/100</f>
        <v>5.4</v>
      </c>
      <c r="O474" s="42">
        <f>0.45*C474/100</f>
        <v>0.9</v>
      </c>
      <c r="P474" s="62">
        <f>0.13*C474/100</f>
        <v>0.26</v>
      </c>
      <c r="Q474" s="62">
        <v>2.3199999999999998</v>
      </c>
      <c r="R474" s="233">
        <v>160209</v>
      </c>
      <c r="S474" s="233"/>
    </row>
    <row r="475" spans="1:19" s="63" customFormat="1" x14ac:dyDescent="0.2">
      <c r="A475" s="49">
        <v>6</v>
      </c>
      <c r="B475" s="47" t="s">
        <v>160</v>
      </c>
      <c r="C475" s="41">
        <v>40</v>
      </c>
      <c r="D475" s="42">
        <f>7.76*C475/100</f>
        <v>3.1039999999999996</v>
      </c>
      <c r="E475" s="42">
        <f>2.65*C475/100</f>
        <v>1.06</v>
      </c>
      <c r="F475" s="42">
        <f>53.25*C475/100</f>
        <v>21.3</v>
      </c>
      <c r="G475" s="42">
        <f>273*C475/100</f>
        <v>109.2</v>
      </c>
      <c r="H475" s="42">
        <f>0.34*C475/100</f>
        <v>0.13600000000000001</v>
      </c>
      <c r="I475" s="42">
        <f>0*C475/100</f>
        <v>0</v>
      </c>
      <c r="J475" s="42">
        <v>0</v>
      </c>
      <c r="K475" s="42">
        <f>1.5*C475/100</f>
        <v>0.6</v>
      </c>
      <c r="L475" s="48">
        <f>148.1*C475/100</f>
        <v>59.24</v>
      </c>
      <c r="M475" s="48">
        <f>0*C475/100</f>
        <v>0</v>
      </c>
      <c r="N475" s="48">
        <f>16*C475/100</f>
        <v>6.4</v>
      </c>
      <c r="O475" s="42">
        <f>2.4*C475/100</f>
        <v>0.96</v>
      </c>
      <c r="P475" s="56">
        <f>0.2*C475/100</f>
        <v>0.08</v>
      </c>
      <c r="Q475" s="56">
        <f>1.5*C475/100</f>
        <v>0.6</v>
      </c>
      <c r="R475" s="233">
        <v>200102</v>
      </c>
      <c r="S475" s="233"/>
    </row>
    <row r="476" spans="1:19" s="63" customFormat="1" x14ac:dyDescent="0.2">
      <c r="A476" s="49">
        <v>7</v>
      </c>
      <c r="B476" s="47" t="s">
        <v>222</v>
      </c>
      <c r="C476" s="41">
        <v>40</v>
      </c>
      <c r="D476" s="42">
        <f>9.4*C476/100</f>
        <v>3.76</v>
      </c>
      <c r="E476" s="42">
        <f>5.8*C476/100</f>
        <v>2.3199999999999998</v>
      </c>
      <c r="F476" s="42">
        <f>52.7*C476/100</f>
        <v>21.08</v>
      </c>
      <c r="G476" s="42">
        <f>300.6*C476/100</f>
        <v>120.24</v>
      </c>
      <c r="H476" s="42">
        <f>0.4*C476/100</f>
        <v>0.16</v>
      </c>
      <c r="I476" s="42">
        <f>0.03*C476/100</f>
        <v>1.2E-2</v>
      </c>
      <c r="J476" s="42">
        <v>0</v>
      </c>
      <c r="K476" s="42">
        <f>1.7*C476/100</f>
        <v>0.68</v>
      </c>
      <c r="L476" s="48">
        <f>25.4*C476/100</f>
        <v>10.16</v>
      </c>
      <c r="M476" s="48">
        <f>105.53*C476/100</f>
        <v>42.211999999999996</v>
      </c>
      <c r="N476" s="48">
        <f>36.5*C476/100</f>
        <v>14.6</v>
      </c>
      <c r="O476" s="42">
        <f>2.45*C476/100</f>
        <v>0.98</v>
      </c>
      <c r="P476" s="56">
        <f>0.2*C476/100</f>
        <v>0.08</v>
      </c>
      <c r="Q476" s="56">
        <v>0</v>
      </c>
      <c r="R476" s="233">
        <v>190101</v>
      </c>
      <c r="S476" s="233"/>
    </row>
    <row r="477" spans="1:19" s="37" customFormat="1" x14ac:dyDescent="0.2">
      <c r="A477" s="49"/>
      <c r="B477" s="132" t="s">
        <v>4</v>
      </c>
      <c r="C477" s="120"/>
      <c r="D477" s="168">
        <f t="shared" ref="D477:Q477" si="82">SUM(D470:D476)</f>
        <v>26.564</v>
      </c>
      <c r="E477" s="168">
        <f t="shared" si="82"/>
        <v>23.654</v>
      </c>
      <c r="F477" s="168">
        <f t="shared" si="82"/>
        <v>102.33399999999999</v>
      </c>
      <c r="G477" s="168">
        <f t="shared" si="82"/>
        <v>713.19800000000009</v>
      </c>
      <c r="H477" s="168">
        <f t="shared" si="82"/>
        <v>0.81700000000000006</v>
      </c>
      <c r="I477" s="168">
        <f t="shared" si="82"/>
        <v>50.326999999999998</v>
      </c>
      <c r="J477" s="168">
        <f t="shared" si="82"/>
        <v>0.17500000000000002</v>
      </c>
      <c r="K477" s="168">
        <f t="shared" si="82"/>
        <v>6.9209999999999994</v>
      </c>
      <c r="L477" s="167">
        <f t="shared" si="82"/>
        <v>166.87400000000002</v>
      </c>
      <c r="M477" s="167">
        <f t="shared" si="82"/>
        <v>456.49</v>
      </c>
      <c r="N477" s="167">
        <f t="shared" si="82"/>
        <v>106.73400000000001</v>
      </c>
      <c r="O477" s="168">
        <f t="shared" si="82"/>
        <v>8.4740000000000002</v>
      </c>
      <c r="P477" s="125">
        <f t="shared" si="82"/>
        <v>0.85299999999999998</v>
      </c>
      <c r="Q477" s="125">
        <f t="shared" si="82"/>
        <v>52.2</v>
      </c>
      <c r="R477" s="233"/>
      <c r="S477" s="233"/>
    </row>
    <row r="478" spans="1:19" s="37" customFormat="1" x14ac:dyDescent="0.2">
      <c r="A478" s="299" t="s">
        <v>35</v>
      </c>
      <c r="B478" s="299"/>
      <c r="C478" s="299"/>
      <c r="D478" s="299"/>
      <c r="E478" s="299"/>
      <c r="F478" s="299"/>
      <c r="G478" s="280"/>
      <c r="H478" s="280"/>
      <c r="I478" s="280"/>
      <c r="J478" s="280"/>
      <c r="K478" s="280"/>
      <c r="L478" s="280"/>
      <c r="M478" s="280"/>
      <c r="N478" s="280"/>
      <c r="O478" s="280"/>
      <c r="P478" s="280"/>
      <c r="Q478" s="280"/>
      <c r="R478" s="280"/>
      <c r="S478" s="280"/>
    </row>
    <row r="479" spans="1:19" s="46" customFormat="1" ht="31.5" x14ac:dyDescent="0.3">
      <c r="A479" s="49">
        <v>1</v>
      </c>
      <c r="B479" s="47" t="s">
        <v>256</v>
      </c>
      <c r="C479" s="41">
        <v>50</v>
      </c>
      <c r="D479" s="42">
        <f>11.4*C479/100</f>
        <v>5.7</v>
      </c>
      <c r="E479" s="42">
        <f>6.2*C479/100</f>
        <v>3.1</v>
      </c>
      <c r="F479" s="42">
        <f>54.7*C479/100</f>
        <v>27.35</v>
      </c>
      <c r="G479" s="42">
        <f>320.2*C479/100</f>
        <v>160.1</v>
      </c>
      <c r="H479" s="42">
        <f>0.16*C479/100</f>
        <v>0.08</v>
      </c>
      <c r="I479" s="42">
        <f>0.76*C479/100</f>
        <v>0.38</v>
      </c>
      <c r="J479" s="42">
        <f>0.02*C479/100</f>
        <v>0.01</v>
      </c>
      <c r="K479" s="42">
        <f>1.25*C479/100</f>
        <v>0.625</v>
      </c>
      <c r="L479" s="42">
        <f>63.4*C479/100</f>
        <v>31.7</v>
      </c>
      <c r="M479" s="42">
        <f>102.56*C479/100</f>
        <v>51.28</v>
      </c>
      <c r="N479" s="42">
        <f>19.8*C479/100</f>
        <v>9.9</v>
      </c>
      <c r="O479" s="42">
        <f>1.19*C479/100</f>
        <v>0.59499999999999997</v>
      </c>
      <c r="P479" s="55">
        <f>0.09*C479/100</f>
        <v>4.4999999999999998E-2</v>
      </c>
      <c r="Q479" s="55">
        <v>3.01</v>
      </c>
      <c r="R479" s="231" t="s">
        <v>244</v>
      </c>
      <c r="S479" s="233">
        <v>190109</v>
      </c>
    </row>
    <row r="480" spans="1:19" s="37" customFormat="1" x14ac:dyDescent="0.2">
      <c r="A480" s="49">
        <v>2</v>
      </c>
      <c r="B480" s="47" t="s">
        <v>145</v>
      </c>
      <c r="C480" s="41">
        <v>200</v>
      </c>
      <c r="D480" s="94">
        <f>2.8*C480/100</f>
        <v>5.6</v>
      </c>
      <c r="E480" s="94">
        <f>2.9*C480/100</f>
        <v>5.8</v>
      </c>
      <c r="F480" s="94">
        <f>10.5*C480/100</f>
        <v>21</v>
      </c>
      <c r="G480" s="94">
        <f>79.3*C480/100</f>
        <v>158.6</v>
      </c>
      <c r="H480" s="42">
        <f>0.04*C480/100</f>
        <v>0.08</v>
      </c>
      <c r="I480" s="42">
        <f>0.6*C480/100</f>
        <v>1.2</v>
      </c>
      <c r="J480" s="42">
        <f>0.03*C480/100</f>
        <v>0.06</v>
      </c>
      <c r="K480" s="42">
        <f>0*C480/100</f>
        <v>0</v>
      </c>
      <c r="L480" s="48">
        <f>122*C480/100</f>
        <v>244</v>
      </c>
      <c r="M480" s="48">
        <f>96*C480/100</f>
        <v>192</v>
      </c>
      <c r="N480" s="48">
        <f>15*C480/100</f>
        <v>30</v>
      </c>
      <c r="O480" s="42">
        <f>0.09*C480/100</f>
        <v>0.18</v>
      </c>
      <c r="P480" s="49">
        <v>0.2</v>
      </c>
      <c r="Q480" s="49">
        <v>9</v>
      </c>
      <c r="R480" s="233"/>
      <c r="S480" s="233"/>
    </row>
    <row r="481" spans="1:19" s="37" customFormat="1" x14ac:dyDescent="0.2">
      <c r="A481" s="49"/>
      <c r="B481" s="132" t="s">
        <v>4</v>
      </c>
      <c r="C481" s="120"/>
      <c r="D481" s="169">
        <f t="shared" ref="D481:Q481" si="83">SUM(D479:D480)</f>
        <v>11.3</v>
      </c>
      <c r="E481" s="169">
        <f t="shared" si="83"/>
        <v>8.9</v>
      </c>
      <c r="F481" s="169">
        <f t="shared" si="83"/>
        <v>48.35</v>
      </c>
      <c r="G481" s="169">
        <f t="shared" si="83"/>
        <v>318.7</v>
      </c>
      <c r="H481" s="169">
        <f t="shared" si="83"/>
        <v>0.16</v>
      </c>
      <c r="I481" s="169">
        <f t="shared" si="83"/>
        <v>1.58</v>
      </c>
      <c r="J481" s="169">
        <f t="shared" si="83"/>
        <v>6.9999999999999993E-2</v>
      </c>
      <c r="K481" s="169">
        <f t="shared" si="83"/>
        <v>0.625</v>
      </c>
      <c r="L481" s="152">
        <f t="shared" si="83"/>
        <v>275.7</v>
      </c>
      <c r="M481" s="152">
        <f t="shared" si="83"/>
        <v>243.28</v>
      </c>
      <c r="N481" s="152">
        <f t="shared" si="83"/>
        <v>39.9</v>
      </c>
      <c r="O481" s="169">
        <f t="shared" si="83"/>
        <v>0.77499999999999991</v>
      </c>
      <c r="P481" s="125">
        <f t="shared" si="83"/>
        <v>0.245</v>
      </c>
      <c r="Q481" s="125">
        <f t="shared" si="83"/>
        <v>12.01</v>
      </c>
      <c r="R481" s="233"/>
      <c r="S481" s="233"/>
    </row>
    <row r="482" spans="1:19" s="37" customFormat="1" x14ac:dyDescent="0.2">
      <c r="A482" s="49"/>
      <c r="B482" s="132" t="s">
        <v>7</v>
      </c>
      <c r="C482" s="120"/>
      <c r="D482" s="168">
        <f t="shared" ref="D482:Q482" si="84">D468+D477+D481</f>
        <v>66.986000000000004</v>
      </c>
      <c r="E482" s="168">
        <f t="shared" si="84"/>
        <v>61.954000000000001</v>
      </c>
      <c r="F482" s="168">
        <f t="shared" si="84"/>
        <v>209.27399999999997</v>
      </c>
      <c r="G482" s="168">
        <f t="shared" si="84"/>
        <v>1647.778</v>
      </c>
      <c r="H482" s="168">
        <f t="shared" si="84"/>
        <v>1.6649999999999998</v>
      </c>
      <c r="I482" s="168">
        <f t="shared" si="84"/>
        <v>81.528999999999996</v>
      </c>
      <c r="J482" s="168">
        <f t="shared" si="84"/>
        <v>1.2040000000000002</v>
      </c>
      <c r="K482" s="168">
        <f t="shared" si="84"/>
        <v>8.91</v>
      </c>
      <c r="L482" s="167">
        <f t="shared" si="84"/>
        <v>760.15000000000009</v>
      </c>
      <c r="M482" s="167">
        <f t="shared" si="84"/>
        <v>1046.3109999999999</v>
      </c>
      <c r="N482" s="167">
        <f t="shared" si="84"/>
        <v>185.21200000000002</v>
      </c>
      <c r="O482" s="168">
        <f t="shared" si="84"/>
        <v>10.859</v>
      </c>
      <c r="P482" s="168">
        <f t="shared" si="84"/>
        <v>1.9130000000000003</v>
      </c>
      <c r="Q482" s="168">
        <f t="shared" si="84"/>
        <v>75.085000000000008</v>
      </c>
      <c r="R482" s="233"/>
      <c r="S482" s="233"/>
    </row>
    <row r="483" spans="1:19" s="37" customFormat="1" x14ac:dyDescent="0.2">
      <c r="A483" s="275" t="s">
        <v>60</v>
      </c>
      <c r="B483" s="276"/>
      <c r="C483" s="276"/>
      <c r="D483" s="276"/>
      <c r="E483" s="276"/>
      <c r="F483" s="276"/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278"/>
    </row>
    <row r="484" spans="1:19" s="37" customFormat="1" x14ac:dyDescent="0.2">
      <c r="A484" s="300" t="s">
        <v>3</v>
      </c>
      <c r="B484" s="301"/>
      <c r="C484" s="301"/>
      <c r="D484" s="301"/>
      <c r="E484" s="301"/>
      <c r="F484" s="301"/>
      <c r="G484" s="302"/>
      <c r="H484" s="302"/>
      <c r="I484" s="302"/>
      <c r="J484" s="302"/>
      <c r="K484" s="302"/>
      <c r="L484" s="302"/>
      <c r="M484" s="302"/>
      <c r="N484" s="302"/>
      <c r="O484" s="302"/>
      <c r="P484" s="302"/>
      <c r="Q484" s="302"/>
      <c r="R484" s="302"/>
      <c r="S484" s="303"/>
    </row>
    <row r="485" spans="1:19" s="63" customFormat="1" ht="36" customHeight="1" x14ac:dyDescent="0.2">
      <c r="A485" s="49">
        <v>1</v>
      </c>
      <c r="B485" s="47" t="s">
        <v>265</v>
      </c>
      <c r="C485" s="41">
        <v>150</v>
      </c>
      <c r="D485" s="94">
        <f>3.2*C485/100</f>
        <v>4.8</v>
      </c>
      <c r="E485" s="94">
        <f>4.8*C485/100</f>
        <v>7.2</v>
      </c>
      <c r="F485" s="94">
        <f>15.6*C485/100</f>
        <v>23.4</v>
      </c>
      <c r="G485" s="94">
        <f>118.5*C485/100</f>
        <v>177.75</v>
      </c>
      <c r="H485" s="42">
        <f>0.19*C485/100</f>
        <v>0.28499999999999998</v>
      </c>
      <c r="I485" s="42">
        <f>13.15*C485/100</f>
        <v>19.725000000000001</v>
      </c>
      <c r="J485" s="42">
        <f>0.02*C485/100</f>
        <v>0.03</v>
      </c>
      <c r="K485" s="42">
        <f>0.06*C485/100</f>
        <v>0.09</v>
      </c>
      <c r="L485" s="48">
        <f>4.76*C485/100</f>
        <v>7.14</v>
      </c>
      <c r="M485" s="48">
        <f>38.66*C485/100</f>
        <v>57.989999999999988</v>
      </c>
      <c r="N485" s="48">
        <f>13.42*C485/100</f>
        <v>20.13</v>
      </c>
      <c r="O485" s="42">
        <f>0.39*C485/100</f>
        <v>0.58499999999999996</v>
      </c>
      <c r="P485" s="49">
        <f>0.01*C485/100</f>
        <v>1.4999999999999999E-2</v>
      </c>
      <c r="Q485" s="49">
        <v>4.46</v>
      </c>
      <c r="R485" s="233">
        <v>120211</v>
      </c>
      <c r="S485" s="233">
        <v>120212</v>
      </c>
    </row>
    <row r="486" spans="1:19" s="63" customFormat="1" x14ac:dyDescent="0.2">
      <c r="A486" s="49">
        <v>2</v>
      </c>
      <c r="B486" s="47" t="s">
        <v>31</v>
      </c>
      <c r="C486" s="59">
        <v>200</v>
      </c>
      <c r="D486" s="60">
        <v>0</v>
      </c>
      <c r="E486" s="60">
        <v>0</v>
      </c>
      <c r="F486" s="60">
        <f>4.99*C486/100</f>
        <v>9.98</v>
      </c>
      <c r="G486" s="42">
        <f>19.95*C486/100</f>
        <v>39.9</v>
      </c>
      <c r="H486" s="42">
        <v>0</v>
      </c>
      <c r="I486" s="42">
        <v>0</v>
      </c>
      <c r="J486" s="42">
        <v>0</v>
      </c>
      <c r="K486" s="42">
        <v>0</v>
      </c>
      <c r="L486" s="48">
        <f>8.15*C486/100</f>
        <v>16.3</v>
      </c>
      <c r="M486" s="48">
        <f>0.02*C486/100</f>
        <v>0.04</v>
      </c>
      <c r="N486" s="48">
        <f>1.79*C486/100</f>
        <v>3.58</v>
      </c>
      <c r="O486" s="42">
        <f>0.02*C486/100</f>
        <v>0.04</v>
      </c>
      <c r="P486" s="49">
        <f>0.01*C486/100</f>
        <v>0.02</v>
      </c>
      <c r="Q486" s="49">
        <v>0.48</v>
      </c>
      <c r="R486" s="233">
        <v>160105</v>
      </c>
      <c r="S486" s="233"/>
    </row>
    <row r="487" spans="1:19" s="63" customFormat="1" x14ac:dyDescent="0.2">
      <c r="A487" s="49">
        <v>3</v>
      </c>
      <c r="B487" s="47" t="s">
        <v>160</v>
      </c>
      <c r="C487" s="41">
        <v>20</v>
      </c>
      <c r="D487" s="42">
        <f>7.76*C487/100</f>
        <v>1.5519999999999998</v>
      </c>
      <c r="E487" s="42">
        <f>2.65*C487/100</f>
        <v>0.53</v>
      </c>
      <c r="F487" s="42">
        <f>53.25*C487/100</f>
        <v>10.65</v>
      </c>
      <c r="G487" s="42">
        <f>273*C487/100</f>
        <v>54.6</v>
      </c>
      <c r="H487" s="42">
        <f>0.34*C487/100</f>
        <v>6.8000000000000005E-2</v>
      </c>
      <c r="I487" s="42">
        <f>0*C487/100</f>
        <v>0</v>
      </c>
      <c r="J487" s="42">
        <v>0</v>
      </c>
      <c r="K487" s="42">
        <f>1.5*C487/100</f>
        <v>0.3</v>
      </c>
      <c r="L487" s="48">
        <f>148.1*C487/100</f>
        <v>29.62</v>
      </c>
      <c r="M487" s="48">
        <f>0*C487/100</f>
        <v>0</v>
      </c>
      <c r="N487" s="48">
        <f>16*C487/100</f>
        <v>3.2</v>
      </c>
      <c r="O487" s="42">
        <f>2.4*C487/100</f>
        <v>0.48</v>
      </c>
      <c r="P487" s="56">
        <f>0.2*C487/100</f>
        <v>0.04</v>
      </c>
      <c r="Q487" s="56">
        <f>1.5*C487/100</f>
        <v>0.3</v>
      </c>
      <c r="R487" s="233">
        <v>200102</v>
      </c>
      <c r="S487" s="233"/>
    </row>
    <row r="488" spans="1:19" s="37" customFormat="1" x14ac:dyDescent="0.2">
      <c r="A488" s="49">
        <v>4</v>
      </c>
      <c r="B488" s="47" t="s">
        <v>272</v>
      </c>
      <c r="C488" s="41">
        <v>150</v>
      </c>
      <c r="D488" s="42">
        <f>1.2*C488/100</f>
        <v>1.8</v>
      </c>
      <c r="E488" s="42">
        <f>7.6*C488/100</f>
        <v>11.4</v>
      </c>
      <c r="F488" s="42">
        <f>28.8*C488/100</f>
        <v>43.2</v>
      </c>
      <c r="G488" s="42">
        <f>188.4*C488/100</f>
        <v>282.60000000000002</v>
      </c>
      <c r="H488" s="42">
        <v>0</v>
      </c>
      <c r="I488" s="42">
        <f>0.8*C488/100</f>
        <v>1.2</v>
      </c>
      <c r="J488" s="42">
        <v>0</v>
      </c>
      <c r="K488" s="42">
        <v>0</v>
      </c>
      <c r="L488" s="48">
        <f>28.96*C488/100</f>
        <v>43.44</v>
      </c>
      <c r="M488" s="48">
        <f>9.26*C488/100</f>
        <v>13.89</v>
      </c>
      <c r="N488" s="48">
        <f>3.51*C488/100</f>
        <v>5.2649999999999997</v>
      </c>
      <c r="O488" s="42">
        <f>0.1*C488/100</f>
        <v>0.15</v>
      </c>
      <c r="P488" s="56">
        <v>0</v>
      </c>
      <c r="Q488" s="56">
        <v>0</v>
      </c>
      <c r="R488" s="233"/>
      <c r="S488" s="233">
        <v>220109</v>
      </c>
    </row>
    <row r="489" spans="1:19" s="37" customFormat="1" x14ac:dyDescent="0.2">
      <c r="A489" s="49"/>
      <c r="B489" s="132" t="s">
        <v>4</v>
      </c>
      <c r="C489" s="41"/>
      <c r="D489" s="169">
        <f t="shared" ref="D489:Q489" si="85">SUM(D485:D488)</f>
        <v>8.1519999999999992</v>
      </c>
      <c r="E489" s="169">
        <f t="shared" si="85"/>
        <v>19.130000000000003</v>
      </c>
      <c r="F489" s="169">
        <f t="shared" si="85"/>
        <v>87.22999999999999</v>
      </c>
      <c r="G489" s="169">
        <f t="shared" si="85"/>
        <v>554.85</v>
      </c>
      <c r="H489" s="169">
        <f t="shared" si="85"/>
        <v>0.35299999999999998</v>
      </c>
      <c r="I489" s="169">
        <f t="shared" si="85"/>
        <v>20.925000000000001</v>
      </c>
      <c r="J489" s="169">
        <f t="shared" si="85"/>
        <v>0.03</v>
      </c>
      <c r="K489" s="169">
        <f t="shared" si="85"/>
        <v>0.39</v>
      </c>
      <c r="L489" s="152">
        <f t="shared" si="85"/>
        <v>96.5</v>
      </c>
      <c r="M489" s="152">
        <f t="shared" si="85"/>
        <v>71.919999999999987</v>
      </c>
      <c r="N489" s="152">
        <f t="shared" si="85"/>
        <v>32.174999999999997</v>
      </c>
      <c r="O489" s="169">
        <f t="shared" si="85"/>
        <v>1.2549999999999999</v>
      </c>
      <c r="P489" s="125">
        <f t="shared" si="85"/>
        <v>7.5000000000000011E-2</v>
      </c>
      <c r="Q489" s="125">
        <f t="shared" si="85"/>
        <v>5.2399999999999993</v>
      </c>
      <c r="R489" s="233"/>
      <c r="S489" s="233"/>
    </row>
    <row r="490" spans="1:19" s="37" customFormat="1" ht="18" x14ac:dyDescent="0.2">
      <c r="A490" s="300" t="s">
        <v>5</v>
      </c>
      <c r="B490" s="302"/>
      <c r="C490" s="302"/>
      <c r="D490" s="302"/>
      <c r="E490" s="302"/>
      <c r="F490" s="302"/>
      <c r="G490" s="302"/>
      <c r="H490" s="302"/>
      <c r="I490" s="302"/>
      <c r="J490" s="302"/>
      <c r="K490" s="302"/>
      <c r="L490" s="302"/>
      <c r="M490" s="302"/>
      <c r="N490" s="302"/>
      <c r="O490" s="302"/>
      <c r="P490" s="302"/>
      <c r="Q490" s="302"/>
      <c r="R490" s="302"/>
      <c r="S490" s="303"/>
    </row>
    <row r="491" spans="1:19" s="63" customFormat="1" x14ac:dyDescent="0.2">
      <c r="A491" s="49">
        <v>1</v>
      </c>
      <c r="B491" s="47" t="s">
        <v>39</v>
      </c>
      <c r="C491" s="182">
        <v>60</v>
      </c>
      <c r="D491" s="42">
        <f>1.57*C491/100</f>
        <v>0.94200000000000006</v>
      </c>
      <c r="E491" s="42">
        <f>10.18*C491/100</f>
        <v>6.1079999999999997</v>
      </c>
      <c r="F491" s="42">
        <f>6.7*C491/100</f>
        <v>4.0199999999999996</v>
      </c>
      <c r="G491" s="42">
        <f>129.23*C491/100</f>
        <v>77.537999999999997</v>
      </c>
      <c r="H491" s="42">
        <f>0.06*C491/100</f>
        <v>3.5999999999999997E-2</v>
      </c>
      <c r="I491" s="42">
        <f>8.75*C491/100</f>
        <v>5.25</v>
      </c>
      <c r="J491" s="42">
        <v>0</v>
      </c>
      <c r="K491" s="42">
        <f>1.85*C491/100</f>
        <v>1.1100000000000001</v>
      </c>
      <c r="L491" s="48">
        <f>21.76*C491/100</f>
        <v>13.056000000000001</v>
      </c>
      <c r="M491" s="48">
        <f>44.85*C491/100</f>
        <v>26.91</v>
      </c>
      <c r="N491" s="48">
        <f>18.39*C491/100</f>
        <v>11.034000000000001</v>
      </c>
      <c r="O491" s="42">
        <f>0.77*C491/100</f>
        <v>0.46200000000000002</v>
      </c>
      <c r="P491" s="49">
        <f>0.04*C491/100</f>
        <v>2.4E-2</v>
      </c>
      <c r="Q491" s="49">
        <v>1.82</v>
      </c>
      <c r="R491" s="233">
        <v>100501</v>
      </c>
      <c r="S491" s="233"/>
    </row>
    <row r="492" spans="1:19" s="63" customFormat="1" x14ac:dyDescent="0.2">
      <c r="A492" s="49">
        <v>2</v>
      </c>
      <c r="B492" s="47" t="s">
        <v>38</v>
      </c>
      <c r="C492" s="41">
        <v>250</v>
      </c>
      <c r="D492" s="42">
        <f>1.6*C492/100</f>
        <v>4</v>
      </c>
      <c r="E492" s="42">
        <f>2.4*C492/100</f>
        <v>6</v>
      </c>
      <c r="F492" s="42">
        <f>6.7*C492/100</f>
        <v>16.75</v>
      </c>
      <c r="G492" s="42">
        <f>54.8*C492/100</f>
        <v>137</v>
      </c>
      <c r="H492" s="42">
        <f>0.03*C492/100</f>
        <v>7.4999999999999997E-2</v>
      </c>
      <c r="I492" s="42">
        <f>2.37*C492/100</f>
        <v>5.9249999999999998</v>
      </c>
      <c r="J492" s="42">
        <f>0*C492/100</f>
        <v>0</v>
      </c>
      <c r="K492" s="42">
        <f>0.06*C492/100</f>
        <v>0.15</v>
      </c>
      <c r="L492" s="48">
        <f>8.68*C492/100</f>
        <v>21.7</v>
      </c>
      <c r="M492" s="48">
        <f>23.37*C492/100</f>
        <v>58.424999999999997</v>
      </c>
      <c r="N492" s="48">
        <f>9.7*C492/100</f>
        <v>24.25</v>
      </c>
      <c r="O492" s="42">
        <f>0.31*C492/100</f>
        <v>0.77500000000000002</v>
      </c>
      <c r="P492" s="49">
        <f>0.02*C492/100</f>
        <v>0.05</v>
      </c>
      <c r="Q492" s="49">
        <v>3.1</v>
      </c>
      <c r="R492" s="233">
        <v>110301</v>
      </c>
      <c r="S492" s="233">
        <v>110302</v>
      </c>
    </row>
    <row r="493" spans="1:19" s="63" customFormat="1" x14ac:dyDescent="0.2">
      <c r="A493" s="49">
        <v>3</v>
      </c>
      <c r="B493" s="47" t="s">
        <v>19</v>
      </c>
      <c r="C493" s="41">
        <v>100</v>
      </c>
      <c r="D493" s="42">
        <f>15*C493/100</f>
        <v>15</v>
      </c>
      <c r="E493" s="42">
        <f>5.5*C493/100</f>
        <v>5.5</v>
      </c>
      <c r="F493" s="42">
        <f>0.66*C493/100</f>
        <v>0.66</v>
      </c>
      <c r="G493" s="42">
        <f>109.5*C493/100</f>
        <v>109.5</v>
      </c>
      <c r="H493" s="42">
        <f>0.07*C493/100</f>
        <v>7.0000000000000007E-2</v>
      </c>
      <c r="I493" s="42">
        <f>4.13*C493/100</f>
        <v>4.13</v>
      </c>
      <c r="J493" s="42">
        <f>0.04*C493/100</f>
        <v>0.04</v>
      </c>
      <c r="K493" s="42">
        <f>0.02*C493/100</f>
        <v>0.02</v>
      </c>
      <c r="L493" s="48">
        <f>28.28*C493/100</f>
        <v>28.28</v>
      </c>
      <c r="M493" s="48">
        <f>138.55*C493/100</f>
        <v>138.55000000000001</v>
      </c>
      <c r="N493" s="48">
        <f>24.27*C493/100</f>
        <v>24.27</v>
      </c>
      <c r="O493" s="42">
        <f>1.57*C493/100</f>
        <v>1.57</v>
      </c>
      <c r="P493" s="49">
        <f>0.16*C493/100</f>
        <v>0.16</v>
      </c>
      <c r="Q493" s="49">
        <v>1.2</v>
      </c>
      <c r="R493" s="233">
        <v>120603</v>
      </c>
      <c r="S493" s="233">
        <v>120604</v>
      </c>
    </row>
    <row r="494" spans="1:19" s="63" customFormat="1" x14ac:dyDescent="0.2">
      <c r="A494" s="49">
        <v>4</v>
      </c>
      <c r="B494" s="47" t="s">
        <v>13</v>
      </c>
      <c r="C494" s="41">
        <v>30</v>
      </c>
      <c r="D494" s="60">
        <f>0.9*C494/100</f>
        <v>0.27</v>
      </c>
      <c r="E494" s="60">
        <f>4.5*C494/100</f>
        <v>1.35</v>
      </c>
      <c r="F494" s="60">
        <f>7.4*C494/100</f>
        <v>2.2200000000000002</v>
      </c>
      <c r="G494" s="60">
        <f>73.7*C494/100</f>
        <v>22.11</v>
      </c>
      <c r="H494" s="42">
        <v>8.9999999999999993E-3</v>
      </c>
      <c r="I494" s="42">
        <v>0.15</v>
      </c>
      <c r="J494" s="42">
        <v>6.0000000000000001E-3</v>
      </c>
      <c r="K494" s="42">
        <v>0.03</v>
      </c>
      <c r="L494" s="48">
        <v>46.05</v>
      </c>
      <c r="M494" s="48">
        <v>32.85</v>
      </c>
      <c r="N494" s="48">
        <v>5.0999999999999996</v>
      </c>
      <c r="O494" s="42">
        <v>0.03</v>
      </c>
      <c r="P494" s="49">
        <v>0.03</v>
      </c>
      <c r="Q494" s="49">
        <v>1.35</v>
      </c>
      <c r="R494" s="233">
        <v>140104</v>
      </c>
      <c r="S494" s="233">
        <v>140105</v>
      </c>
    </row>
    <row r="495" spans="1:19" s="63" customFormat="1" x14ac:dyDescent="0.2">
      <c r="A495" s="49">
        <v>5</v>
      </c>
      <c r="B495" s="47" t="s">
        <v>183</v>
      </c>
      <c r="C495" s="41">
        <v>150</v>
      </c>
      <c r="D495" s="42">
        <f>2.095*C495/100</f>
        <v>3.1425000000000005</v>
      </c>
      <c r="E495" s="42">
        <f>5.135*C495/100</f>
        <v>7.7024999999999997</v>
      </c>
      <c r="F495" s="42">
        <f>12.04*C495/100</f>
        <v>18.059999999999999</v>
      </c>
      <c r="G495" s="42">
        <f>93.4*C495/100</f>
        <v>140.1</v>
      </c>
      <c r="H495" s="94">
        <f>0.1*C495/100</f>
        <v>0.15</v>
      </c>
      <c r="I495" s="94">
        <f>13.71*C495/100</f>
        <v>20.565000000000001</v>
      </c>
      <c r="J495" s="94">
        <f>0.02*C495/100</f>
        <v>0.03</v>
      </c>
      <c r="K495" s="94">
        <f>0.15*C495/100</f>
        <v>0.22500000000000001</v>
      </c>
      <c r="L495" s="124">
        <f>9.35*C495/100</f>
        <v>14.025</v>
      </c>
      <c r="M495" s="124">
        <f>51.96*C495/100</f>
        <v>77.94</v>
      </c>
      <c r="N495" s="124">
        <f>19.14*C495/100</f>
        <v>28.71</v>
      </c>
      <c r="O495" s="94">
        <f>0.77*C495/100</f>
        <v>1.155</v>
      </c>
      <c r="P495" s="49">
        <f>0.06*C495/100</f>
        <v>0.09</v>
      </c>
      <c r="Q495" s="49">
        <v>4.8899999999999997</v>
      </c>
      <c r="R495" s="233">
        <v>130103</v>
      </c>
      <c r="S495" s="233">
        <v>130104</v>
      </c>
    </row>
    <row r="496" spans="1:19" s="63" customFormat="1" ht="37.5" x14ac:dyDescent="0.2">
      <c r="A496" s="49">
        <v>6</v>
      </c>
      <c r="B496" s="47" t="s">
        <v>130</v>
      </c>
      <c r="C496" s="41">
        <v>200</v>
      </c>
      <c r="D496" s="42">
        <f>0.09*C496/100</f>
        <v>0.18</v>
      </c>
      <c r="E496" s="42">
        <f>0.04*C496/100</f>
        <v>0.08</v>
      </c>
      <c r="F496" s="42">
        <f>8.76*C496/100</f>
        <v>17.52</v>
      </c>
      <c r="G496" s="42">
        <f>26.45*C496/100</f>
        <v>52.9</v>
      </c>
      <c r="H496" s="42">
        <f>0.02*C496/100</f>
        <v>0.04</v>
      </c>
      <c r="I496" s="42">
        <f>52.8*C496/100</f>
        <v>105.6</v>
      </c>
      <c r="J496" s="42">
        <f>0*C496/100</f>
        <v>0</v>
      </c>
      <c r="K496" s="42">
        <v>0</v>
      </c>
      <c r="L496" s="48">
        <f>35.02*C496/100</f>
        <v>70.040000000000006</v>
      </c>
      <c r="M496" s="48">
        <v>0</v>
      </c>
      <c r="N496" s="48">
        <f>0.9*C496/100</f>
        <v>1.8</v>
      </c>
      <c r="O496" s="42">
        <f>1.07*C496/100</f>
        <v>2.14</v>
      </c>
      <c r="P496" s="62">
        <f>0.04*C496/100</f>
        <v>0.08</v>
      </c>
      <c r="Q496" s="62">
        <v>2.3199999999999998</v>
      </c>
      <c r="R496" s="233">
        <v>160205</v>
      </c>
      <c r="S496" s="233"/>
    </row>
    <row r="497" spans="1:24" s="63" customFormat="1" x14ac:dyDescent="0.2">
      <c r="A497" s="49">
        <v>7</v>
      </c>
      <c r="B497" s="47" t="s">
        <v>160</v>
      </c>
      <c r="C497" s="41">
        <v>40</v>
      </c>
      <c r="D497" s="42">
        <f>7.76*C497/100</f>
        <v>3.1039999999999996</v>
      </c>
      <c r="E497" s="42">
        <f>2.65*C497/100</f>
        <v>1.06</v>
      </c>
      <c r="F497" s="42">
        <f>53.25*C497/100</f>
        <v>21.3</v>
      </c>
      <c r="G497" s="42">
        <f>273*C497/100</f>
        <v>109.2</v>
      </c>
      <c r="H497" s="42">
        <f>0.34*C497/100</f>
        <v>0.13600000000000001</v>
      </c>
      <c r="I497" s="42">
        <f>0*C497/100</f>
        <v>0</v>
      </c>
      <c r="J497" s="42">
        <v>0</v>
      </c>
      <c r="K497" s="42">
        <f>1.5*C497/100</f>
        <v>0.6</v>
      </c>
      <c r="L497" s="48">
        <f>148.1*C497/100</f>
        <v>59.24</v>
      </c>
      <c r="M497" s="48">
        <f>0*C497/100</f>
        <v>0</v>
      </c>
      <c r="N497" s="48">
        <f>16*C497/100</f>
        <v>6.4</v>
      </c>
      <c r="O497" s="42">
        <f>2.4*C497/100</f>
        <v>0.96</v>
      </c>
      <c r="P497" s="56">
        <f>0.2*C497/100</f>
        <v>0.08</v>
      </c>
      <c r="Q497" s="56">
        <f>1.5*C497/100</f>
        <v>0.6</v>
      </c>
      <c r="R497" s="233">
        <v>200102</v>
      </c>
      <c r="S497" s="233"/>
    </row>
    <row r="498" spans="1:24" s="63" customFormat="1" x14ac:dyDescent="0.2">
      <c r="A498" s="49">
        <v>8</v>
      </c>
      <c r="B498" s="47" t="s">
        <v>159</v>
      </c>
      <c r="C498" s="41">
        <v>20</v>
      </c>
      <c r="D498" s="42">
        <f>5.86*C498/100</f>
        <v>1.1719999999999999</v>
      </c>
      <c r="E498" s="42">
        <f>0.94*C498/100</f>
        <v>0.18799999999999997</v>
      </c>
      <c r="F498" s="42">
        <f>44.4*C498/100</f>
        <v>8.8800000000000008</v>
      </c>
      <c r="G498" s="42">
        <f>189*C498/100</f>
        <v>37.799999999999997</v>
      </c>
      <c r="H498" s="42">
        <f>0.4*C498/100</f>
        <v>0.08</v>
      </c>
      <c r="I498" s="42">
        <f>0.03*C498/100</f>
        <v>6.0000000000000001E-3</v>
      </c>
      <c r="J498" s="42">
        <v>0</v>
      </c>
      <c r="K498" s="42">
        <f>1.7*C498/100</f>
        <v>0.34</v>
      </c>
      <c r="L498" s="48">
        <f>25.4*C498/100</f>
        <v>5.08</v>
      </c>
      <c r="M498" s="48">
        <f>105.53*C498/100</f>
        <v>21.105999999999998</v>
      </c>
      <c r="N498" s="48">
        <f>36.5*C498/100</f>
        <v>7.3</v>
      </c>
      <c r="O498" s="42">
        <f>2.45*C498/100</f>
        <v>0.49</v>
      </c>
      <c r="P498" s="56">
        <f>0.2*C498/100</f>
        <v>0.04</v>
      </c>
      <c r="Q498" s="56">
        <f>10*C498/100</f>
        <v>2</v>
      </c>
      <c r="R498" s="233">
        <v>200103</v>
      </c>
      <c r="S498" s="233"/>
    </row>
    <row r="499" spans="1:24" s="53" customFormat="1" ht="15.75" customHeight="1" x14ac:dyDescent="0.3">
      <c r="A499" s="49">
        <v>9</v>
      </c>
      <c r="B499" s="47" t="s">
        <v>146</v>
      </c>
      <c r="C499" s="41">
        <v>18</v>
      </c>
      <c r="D499" s="42">
        <v>7.0000000000000007E-2</v>
      </c>
      <c r="E499" s="42">
        <v>0</v>
      </c>
      <c r="F499" s="42">
        <v>13.79</v>
      </c>
      <c r="G499" s="42">
        <v>52.74</v>
      </c>
      <c r="H499" s="42">
        <v>0</v>
      </c>
      <c r="I499" s="42">
        <v>0</v>
      </c>
      <c r="J499" s="42">
        <v>0</v>
      </c>
      <c r="K499" s="42">
        <v>0</v>
      </c>
      <c r="L499" s="42">
        <v>0</v>
      </c>
      <c r="M499" s="42">
        <v>0</v>
      </c>
      <c r="N499" s="42">
        <v>0</v>
      </c>
      <c r="O499" s="42">
        <v>0</v>
      </c>
      <c r="P499" s="55">
        <v>0</v>
      </c>
      <c r="Q499" s="55">
        <v>0</v>
      </c>
      <c r="R499" s="235"/>
      <c r="S499" s="235"/>
    </row>
    <row r="500" spans="1:24" s="37" customFormat="1" x14ac:dyDescent="0.2">
      <c r="A500" s="49"/>
      <c r="B500" s="132" t="s">
        <v>4</v>
      </c>
      <c r="C500" s="120"/>
      <c r="D500" s="168">
        <f t="shared" ref="D500:Q500" si="86">SUM(D491:D499)</f>
        <v>27.880500000000001</v>
      </c>
      <c r="E500" s="168">
        <f t="shared" si="86"/>
        <v>27.988499999999998</v>
      </c>
      <c r="F500" s="168">
        <f t="shared" si="86"/>
        <v>103.19999999999999</v>
      </c>
      <c r="G500" s="168">
        <f t="shared" si="86"/>
        <v>738.88800000000003</v>
      </c>
      <c r="H500" s="168">
        <f t="shared" si="86"/>
        <v>0.59599999999999997</v>
      </c>
      <c r="I500" s="168">
        <f t="shared" si="86"/>
        <v>141.626</v>
      </c>
      <c r="J500" s="168">
        <f t="shared" si="86"/>
        <v>7.5999999999999998E-2</v>
      </c>
      <c r="K500" s="168">
        <f t="shared" si="86"/>
        <v>2.4750000000000001</v>
      </c>
      <c r="L500" s="167">
        <f t="shared" si="86"/>
        <v>257.471</v>
      </c>
      <c r="M500" s="167">
        <f t="shared" si="86"/>
        <v>355.78100000000001</v>
      </c>
      <c r="N500" s="167">
        <f t="shared" si="86"/>
        <v>108.864</v>
      </c>
      <c r="O500" s="168">
        <f t="shared" si="86"/>
        <v>7.5819999999999999</v>
      </c>
      <c r="P500" s="125">
        <f t="shared" si="86"/>
        <v>0.55400000000000005</v>
      </c>
      <c r="Q500" s="125">
        <f t="shared" si="86"/>
        <v>17.28</v>
      </c>
      <c r="R500" s="233"/>
      <c r="S500" s="233"/>
    </row>
    <row r="501" spans="1:24" s="37" customFormat="1" x14ac:dyDescent="0.2">
      <c r="A501" s="314" t="s">
        <v>35</v>
      </c>
      <c r="B501" s="315"/>
      <c r="C501" s="315"/>
      <c r="D501" s="315"/>
      <c r="E501" s="315"/>
      <c r="F501" s="315"/>
      <c r="G501" s="302"/>
      <c r="H501" s="302"/>
      <c r="I501" s="302"/>
      <c r="J501" s="302"/>
      <c r="K501" s="302"/>
      <c r="L501" s="302"/>
      <c r="M501" s="302"/>
      <c r="N501" s="302"/>
      <c r="O501" s="302"/>
      <c r="P501" s="302"/>
      <c r="Q501" s="302"/>
      <c r="R501" s="302"/>
      <c r="S501" s="303"/>
    </row>
    <row r="502" spans="1:24" s="63" customFormat="1" x14ac:dyDescent="0.2">
      <c r="A502" s="49">
        <v>1</v>
      </c>
      <c r="B502" s="47" t="s">
        <v>34</v>
      </c>
      <c r="C502" s="41">
        <v>50</v>
      </c>
      <c r="D502" s="184">
        <f>5.7*C502/100</f>
        <v>2.85</v>
      </c>
      <c r="E502" s="184">
        <f>20.3*C502/100</f>
        <v>10.15</v>
      </c>
      <c r="F502" s="184">
        <f>57.3*C502/100</f>
        <v>28.65</v>
      </c>
      <c r="G502" s="184">
        <f>430.7*C502/100</f>
        <v>215.35</v>
      </c>
      <c r="H502" s="42">
        <f>0.12*C502/100</f>
        <v>0.06</v>
      </c>
      <c r="I502" s="42">
        <f>0*C502/100</f>
        <v>0</v>
      </c>
      <c r="J502" s="42">
        <f>0.13*C502/100</f>
        <v>6.5000000000000002E-2</v>
      </c>
      <c r="K502" s="42">
        <f>5.55*C502/100</f>
        <v>2.7749999999999999</v>
      </c>
      <c r="L502" s="48">
        <f>44.66*C502/100</f>
        <v>22.33</v>
      </c>
      <c r="M502" s="48">
        <f>148.03*C502/100</f>
        <v>74.015000000000001</v>
      </c>
      <c r="N502" s="48">
        <f>21.6*C502/100</f>
        <v>10.8</v>
      </c>
      <c r="O502" s="42">
        <f>1.35*C502/100</f>
        <v>0.67500000000000004</v>
      </c>
      <c r="P502" s="49">
        <v>0.03</v>
      </c>
      <c r="Q502" s="49">
        <v>0.83</v>
      </c>
      <c r="R502" s="233">
        <v>170601</v>
      </c>
      <c r="S502" s="233">
        <v>170602</v>
      </c>
    </row>
    <row r="503" spans="1:24" s="63" customFormat="1" x14ac:dyDescent="0.2">
      <c r="A503" s="49">
        <v>2</v>
      </c>
      <c r="B503" s="47" t="s">
        <v>161</v>
      </c>
      <c r="C503" s="59">
        <v>200</v>
      </c>
      <c r="D503" s="60">
        <f>3*C503/100</f>
        <v>6</v>
      </c>
      <c r="E503" s="60">
        <f>3.2*C503/100</f>
        <v>6.4</v>
      </c>
      <c r="F503" s="60">
        <f>4.7*C503/100</f>
        <v>9.4</v>
      </c>
      <c r="G503" s="42">
        <f>60*C503/100</f>
        <v>120</v>
      </c>
      <c r="H503" s="49">
        <f>0.18*C503/100</f>
        <v>0.36</v>
      </c>
      <c r="I503" s="49">
        <f>10*C503/100</f>
        <v>20</v>
      </c>
      <c r="J503" s="49">
        <v>0</v>
      </c>
      <c r="K503" s="49">
        <v>0</v>
      </c>
      <c r="L503" s="48">
        <v>0</v>
      </c>
      <c r="M503" s="48">
        <v>0</v>
      </c>
      <c r="N503" s="48">
        <v>0</v>
      </c>
      <c r="O503" s="49">
        <v>0</v>
      </c>
      <c r="P503" s="49">
        <v>0</v>
      </c>
      <c r="Q503" s="49">
        <f>9*C503/100</f>
        <v>18</v>
      </c>
      <c r="R503" s="233"/>
      <c r="S503" s="233"/>
    </row>
    <row r="504" spans="1:24" s="37" customFormat="1" x14ac:dyDescent="0.2">
      <c r="A504" s="49"/>
      <c r="B504" s="132" t="s">
        <v>4</v>
      </c>
      <c r="C504" s="41"/>
      <c r="D504" s="169">
        <f t="shared" ref="D504:Q504" si="87">SUM(D502:D503)</f>
        <v>8.85</v>
      </c>
      <c r="E504" s="169">
        <f t="shared" si="87"/>
        <v>16.55</v>
      </c>
      <c r="F504" s="169">
        <f t="shared" si="87"/>
        <v>38.049999999999997</v>
      </c>
      <c r="G504" s="169">
        <f t="shared" si="87"/>
        <v>335.35</v>
      </c>
      <c r="H504" s="169">
        <f t="shared" si="87"/>
        <v>0.42</v>
      </c>
      <c r="I504" s="169">
        <f t="shared" si="87"/>
        <v>20</v>
      </c>
      <c r="J504" s="169">
        <f t="shared" si="87"/>
        <v>6.5000000000000002E-2</v>
      </c>
      <c r="K504" s="169">
        <f t="shared" si="87"/>
        <v>2.7749999999999999</v>
      </c>
      <c r="L504" s="152">
        <f t="shared" si="87"/>
        <v>22.33</v>
      </c>
      <c r="M504" s="152">
        <f t="shared" si="87"/>
        <v>74.015000000000001</v>
      </c>
      <c r="N504" s="152">
        <f t="shared" si="87"/>
        <v>10.8</v>
      </c>
      <c r="O504" s="169">
        <f t="shared" si="87"/>
        <v>0.67500000000000004</v>
      </c>
      <c r="P504" s="49">
        <f t="shared" si="87"/>
        <v>0.03</v>
      </c>
      <c r="Q504" s="49">
        <f t="shared" si="87"/>
        <v>18.829999999999998</v>
      </c>
      <c r="R504" s="233"/>
      <c r="S504" s="233"/>
    </row>
    <row r="505" spans="1:24" s="37" customFormat="1" ht="19.5" thickBot="1" x14ac:dyDescent="0.25">
      <c r="A505" s="97"/>
      <c r="B505" s="106" t="s">
        <v>7</v>
      </c>
      <c r="C505" s="121"/>
      <c r="D505" s="102">
        <v>66.02</v>
      </c>
      <c r="E505" s="102">
        <f t="shared" ref="E505:Q505" si="88">E489+E500+E504</f>
        <v>63.668499999999995</v>
      </c>
      <c r="F505" s="102">
        <f t="shared" si="88"/>
        <v>228.47999999999996</v>
      </c>
      <c r="G505" s="113">
        <f t="shared" si="88"/>
        <v>1629.0880000000002</v>
      </c>
      <c r="H505" s="114">
        <f t="shared" si="88"/>
        <v>1.369</v>
      </c>
      <c r="I505" s="102">
        <f t="shared" si="88"/>
        <v>182.55100000000002</v>
      </c>
      <c r="J505" s="102">
        <f t="shared" si="88"/>
        <v>0.17099999999999999</v>
      </c>
      <c r="K505" s="102">
        <f t="shared" si="88"/>
        <v>5.6400000000000006</v>
      </c>
      <c r="L505" s="153">
        <f t="shared" si="88"/>
        <v>376.30099999999999</v>
      </c>
      <c r="M505" s="153">
        <f t="shared" si="88"/>
        <v>501.71600000000001</v>
      </c>
      <c r="N505" s="153">
        <f t="shared" si="88"/>
        <v>151.839</v>
      </c>
      <c r="O505" s="103">
        <f t="shared" si="88"/>
        <v>9.5120000000000005</v>
      </c>
      <c r="P505" s="103">
        <f t="shared" si="88"/>
        <v>0.65900000000000003</v>
      </c>
      <c r="Q505" s="113">
        <f t="shared" si="88"/>
        <v>41.349999999999994</v>
      </c>
      <c r="R505" s="243"/>
      <c r="S505" s="244"/>
    </row>
    <row r="506" spans="1:24" s="37" customFormat="1" x14ac:dyDescent="0.2">
      <c r="A506" s="340" t="s">
        <v>61</v>
      </c>
      <c r="B506" s="341"/>
      <c r="C506" s="341"/>
      <c r="D506" s="341"/>
      <c r="E506" s="341"/>
      <c r="F506" s="341"/>
      <c r="G506" s="318"/>
      <c r="H506" s="318"/>
      <c r="I506" s="318"/>
      <c r="J506" s="318"/>
      <c r="K506" s="318"/>
      <c r="L506" s="318"/>
      <c r="M506" s="318"/>
      <c r="N506" s="318"/>
      <c r="O506" s="318"/>
      <c r="P506" s="318"/>
      <c r="Q506" s="318"/>
      <c r="R506" s="318"/>
      <c r="S506" s="319"/>
    </row>
    <row r="507" spans="1:24" s="37" customFormat="1" ht="18" x14ac:dyDescent="0.2">
      <c r="A507" s="300" t="s">
        <v>3</v>
      </c>
      <c r="B507" s="302"/>
      <c r="C507" s="302"/>
      <c r="D507" s="302"/>
      <c r="E507" s="302"/>
      <c r="F507" s="302"/>
      <c r="G507" s="302"/>
      <c r="H507" s="302"/>
      <c r="I507" s="302"/>
      <c r="J507" s="302"/>
      <c r="K507" s="302"/>
      <c r="L507" s="302"/>
      <c r="M507" s="302"/>
      <c r="N507" s="302"/>
      <c r="O507" s="302"/>
      <c r="P507" s="302"/>
      <c r="Q507" s="302"/>
      <c r="R507" s="302"/>
      <c r="S507" s="303"/>
    </row>
    <row r="508" spans="1:24" s="63" customFormat="1" x14ac:dyDescent="0.2">
      <c r="A508" s="49">
        <v>1</v>
      </c>
      <c r="B508" s="47" t="s">
        <v>214</v>
      </c>
      <c r="C508" s="41">
        <v>150</v>
      </c>
      <c r="D508" s="42">
        <f>13.11*C508/100</f>
        <v>19.664999999999999</v>
      </c>
      <c r="E508" s="42">
        <f>25.08*C508/100</f>
        <v>37.619999999999997</v>
      </c>
      <c r="F508" s="42">
        <f>1.23*C508/100</f>
        <v>1.845</v>
      </c>
      <c r="G508" s="42">
        <f>284.2*C508/100</f>
        <v>426.3</v>
      </c>
      <c r="H508" s="42">
        <f>0.04*C508/100</f>
        <v>0.06</v>
      </c>
      <c r="I508" s="42">
        <f>1.3*C508/100</f>
        <v>1.95</v>
      </c>
      <c r="J508" s="42">
        <f>0.06*C508/100</f>
        <v>0.09</v>
      </c>
      <c r="K508" s="42">
        <f>0.13*C508/100</f>
        <v>0.19500000000000001</v>
      </c>
      <c r="L508" s="48">
        <f>150.84*C508/100</f>
        <v>226.26</v>
      </c>
      <c r="M508" s="48">
        <f>100.63*C508/100</f>
        <v>150.94499999999999</v>
      </c>
      <c r="N508" s="48">
        <f>8.9*C508/100</f>
        <v>13.35</v>
      </c>
      <c r="O508" s="42">
        <f>0.14*C508/100</f>
        <v>0.21000000000000005</v>
      </c>
      <c r="P508" s="49">
        <f>0.08*C508/100</f>
        <v>0.12</v>
      </c>
      <c r="Q508" s="49">
        <v>3.5</v>
      </c>
      <c r="R508" s="233">
        <v>120302</v>
      </c>
      <c r="S508" s="233"/>
    </row>
    <row r="509" spans="1:24" s="63" customFormat="1" x14ac:dyDescent="0.2">
      <c r="A509" s="49">
        <v>2</v>
      </c>
      <c r="B509" s="47" t="s">
        <v>147</v>
      </c>
      <c r="C509" s="59">
        <v>200</v>
      </c>
      <c r="D509" s="60">
        <f>0.1*C509/100</f>
        <v>0.2</v>
      </c>
      <c r="E509" s="60">
        <f>0.02*C509/100</f>
        <v>0.04</v>
      </c>
      <c r="F509" s="60">
        <f>5.11*C509/100</f>
        <v>10.220000000000001</v>
      </c>
      <c r="G509" s="43">
        <f>21.14*C509/100</f>
        <v>42.28</v>
      </c>
      <c r="H509" s="95">
        <f>C509*0/100</f>
        <v>0</v>
      </c>
      <c r="I509" s="49">
        <f>1.43*C509/100</f>
        <v>2.86</v>
      </c>
      <c r="J509" s="49">
        <f>C509*0/100000</f>
        <v>0</v>
      </c>
      <c r="K509" s="49">
        <f>C509*0.01/100</f>
        <v>0.02</v>
      </c>
      <c r="L509" s="48">
        <f>C509*7.87/100</f>
        <v>15.74</v>
      </c>
      <c r="M509" s="48">
        <f>C509*3.65/100</f>
        <v>7.3</v>
      </c>
      <c r="N509" s="48">
        <f>C509*2.98/100</f>
        <v>5.96</v>
      </c>
      <c r="O509" s="50">
        <f>C509*0.32/100</f>
        <v>0.64</v>
      </c>
      <c r="P509" s="49">
        <v>0</v>
      </c>
      <c r="Q509" s="93">
        <v>2.13</v>
      </c>
      <c r="R509" s="233">
        <v>160106</v>
      </c>
      <c r="S509" s="242"/>
    </row>
    <row r="510" spans="1:24" s="52" customFormat="1" x14ac:dyDescent="0.2">
      <c r="A510" s="49">
        <v>3</v>
      </c>
      <c r="B510" s="47" t="s">
        <v>239</v>
      </c>
      <c r="C510" s="41">
        <v>30</v>
      </c>
      <c r="D510" s="171">
        <f>10*C510/100</f>
        <v>3</v>
      </c>
      <c r="E510" s="171">
        <f>8*C510/100</f>
        <v>2.4</v>
      </c>
      <c r="F510" s="171">
        <f>9*C510/100</f>
        <v>2.7</v>
      </c>
      <c r="G510" s="171">
        <f>148*C510/100</f>
        <v>44.4</v>
      </c>
      <c r="H510" s="42">
        <v>0</v>
      </c>
      <c r="I510" s="42">
        <v>0</v>
      </c>
      <c r="J510" s="42">
        <v>0</v>
      </c>
      <c r="K510" s="42">
        <v>0</v>
      </c>
      <c r="L510" s="48">
        <f>22*C510/100</f>
        <v>6.6</v>
      </c>
      <c r="M510" s="48">
        <f>268*C510/100</f>
        <v>80.400000000000006</v>
      </c>
      <c r="N510" s="48">
        <f>35*C510/100</f>
        <v>10.5</v>
      </c>
      <c r="O510" s="42">
        <f>2.6*C510/100</f>
        <v>0.78</v>
      </c>
      <c r="P510" s="49">
        <v>0</v>
      </c>
      <c r="Q510" s="49">
        <v>0</v>
      </c>
      <c r="R510" s="233">
        <v>100101</v>
      </c>
      <c r="S510" s="233"/>
      <c r="T510" s="68"/>
      <c r="U510" s="68"/>
      <c r="V510" s="68"/>
      <c r="W510" s="68"/>
      <c r="X510" s="68"/>
    </row>
    <row r="511" spans="1:24" s="63" customFormat="1" x14ac:dyDescent="0.2">
      <c r="A511" s="49">
        <v>4</v>
      </c>
      <c r="B511" s="47" t="s">
        <v>160</v>
      </c>
      <c r="C511" s="41">
        <v>20</v>
      </c>
      <c r="D511" s="42">
        <f>7.76*C511/100</f>
        <v>1.5519999999999998</v>
      </c>
      <c r="E511" s="42">
        <f>2.65*C511/100</f>
        <v>0.53</v>
      </c>
      <c r="F511" s="42">
        <f>53.25*C511/100</f>
        <v>10.65</v>
      </c>
      <c r="G511" s="42">
        <f>273*C511/100</f>
        <v>54.6</v>
      </c>
      <c r="H511" s="42">
        <f>0.34*C511/100</f>
        <v>6.8000000000000005E-2</v>
      </c>
      <c r="I511" s="42">
        <f>0*C511/100</f>
        <v>0</v>
      </c>
      <c r="J511" s="42">
        <v>0</v>
      </c>
      <c r="K511" s="42">
        <f>1.5*C511/100</f>
        <v>0.3</v>
      </c>
      <c r="L511" s="48">
        <f>148.1*C511/100</f>
        <v>29.62</v>
      </c>
      <c r="M511" s="48">
        <f>0*C511/100</f>
        <v>0</v>
      </c>
      <c r="N511" s="48">
        <f>16*C511/100</f>
        <v>3.2</v>
      </c>
      <c r="O511" s="42">
        <f>2.4*C511/100</f>
        <v>0.48</v>
      </c>
      <c r="P511" s="56">
        <f>0.2*C511/100</f>
        <v>0.04</v>
      </c>
      <c r="Q511" s="56">
        <f>1.5*C511/100</f>
        <v>0.3</v>
      </c>
      <c r="R511" s="233">
        <v>200102</v>
      </c>
      <c r="S511" s="233"/>
    </row>
    <row r="512" spans="1:24" s="37" customFormat="1" x14ac:dyDescent="0.2">
      <c r="A512" s="49"/>
      <c r="B512" s="132" t="s">
        <v>4</v>
      </c>
      <c r="C512" s="120"/>
      <c r="D512" s="169">
        <f t="shared" ref="D512:Q512" si="89">SUM(D508:D511)</f>
        <v>24.416999999999998</v>
      </c>
      <c r="E512" s="169">
        <f t="shared" si="89"/>
        <v>40.589999999999996</v>
      </c>
      <c r="F512" s="169">
        <f t="shared" si="89"/>
        <v>25.414999999999999</v>
      </c>
      <c r="G512" s="169">
        <f t="shared" si="89"/>
        <v>567.58000000000004</v>
      </c>
      <c r="H512" s="169">
        <f t="shared" si="89"/>
        <v>0.128</v>
      </c>
      <c r="I512" s="169">
        <f t="shared" si="89"/>
        <v>4.8099999999999996</v>
      </c>
      <c r="J512" s="169">
        <f t="shared" si="89"/>
        <v>0.09</v>
      </c>
      <c r="K512" s="169">
        <f t="shared" si="89"/>
        <v>0.51500000000000001</v>
      </c>
      <c r="L512" s="152">
        <f t="shared" si="89"/>
        <v>278.21999999999997</v>
      </c>
      <c r="M512" s="152">
        <f t="shared" si="89"/>
        <v>238.64500000000001</v>
      </c>
      <c r="N512" s="152">
        <f t="shared" si="89"/>
        <v>33.01</v>
      </c>
      <c r="O512" s="169">
        <f t="shared" si="89"/>
        <v>2.1100000000000003</v>
      </c>
      <c r="P512" s="125">
        <f t="shared" si="89"/>
        <v>0.16</v>
      </c>
      <c r="Q512" s="125">
        <f t="shared" si="89"/>
        <v>5.93</v>
      </c>
      <c r="R512" s="233"/>
      <c r="S512" s="233"/>
    </row>
    <row r="513" spans="1:19" s="37" customFormat="1" ht="18" x14ac:dyDescent="0.2">
      <c r="A513" s="300" t="s">
        <v>5</v>
      </c>
      <c r="B513" s="302"/>
      <c r="C513" s="302"/>
      <c r="D513" s="302"/>
      <c r="E513" s="302"/>
      <c r="F513" s="302"/>
      <c r="G513" s="302"/>
      <c r="H513" s="302"/>
      <c r="I513" s="302"/>
      <c r="J513" s="302"/>
      <c r="K513" s="302"/>
      <c r="L513" s="302"/>
      <c r="M513" s="302"/>
      <c r="N513" s="302"/>
      <c r="O513" s="302"/>
      <c r="P513" s="302"/>
      <c r="Q513" s="302"/>
      <c r="R513" s="302"/>
      <c r="S513" s="303"/>
    </row>
    <row r="514" spans="1:19" s="63" customFormat="1" x14ac:dyDescent="0.2">
      <c r="A514" s="49">
        <v>1</v>
      </c>
      <c r="B514" s="47" t="s">
        <v>206</v>
      </c>
      <c r="C514" s="182">
        <v>60</v>
      </c>
      <c r="D514" s="42">
        <f>1*C514/100</f>
        <v>0.6</v>
      </c>
      <c r="E514" s="42">
        <f>10*C514/100</f>
        <v>6</v>
      </c>
      <c r="F514" s="42">
        <f>7*C514/100</f>
        <v>4.2</v>
      </c>
      <c r="G514" s="42">
        <f>122*C514/100</f>
        <v>73.2</v>
      </c>
      <c r="H514" s="42">
        <f>0.04*C514/100</f>
        <v>2.4E-2</v>
      </c>
      <c r="I514" s="42">
        <f>1.9*C514/100</f>
        <v>1.1399999999999999</v>
      </c>
      <c r="J514" s="42">
        <f>0*C514/100</f>
        <v>0</v>
      </c>
      <c r="K514" s="42">
        <f>0*C514/100</f>
        <v>0</v>
      </c>
      <c r="L514" s="48">
        <f>42.4*C514/100</f>
        <v>25.44</v>
      </c>
      <c r="M514" s="48">
        <f>0*C514/100</f>
        <v>0</v>
      </c>
      <c r="N514" s="48">
        <f>0*C514/100</f>
        <v>0</v>
      </c>
      <c r="O514" s="42">
        <f>15.6*C514/100</f>
        <v>9.36</v>
      </c>
      <c r="P514" s="49">
        <f>0.06*C514/100</f>
        <v>3.5999999999999997E-2</v>
      </c>
      <c r="Q514" s="49">
        <v>2.76</v>
      </c>
      <c r="R514" s="233">
        <v>100206</v>
      </c>
      <c r="S514" s="233"/>
    </row>
    <row r="515" spans="1:19" s="63" customFormat="1" x14ac:dyDescent="0.2">
      <c r="A515" s="49">
        <v>2</v>
      </c>
      <c r="B515" s="47" t="s">
        <v>172</v>
      </c>
      <c r="C515" s="41">
        <v>250</v>
      </c>
      <c r="D515" s="42">
        <f>0.8*C515/100</f>
        <v>2</v>
      </c>
      <c r="E515" s="42">
        <f>1.6*C515/100</f>
        <v>4</v>
      </c>
      <c r="F515" s="42">
        <f>6.6*C515/100</f>
        <v>16.5</v>
      </c>
      <c r="G515" s="42">
        <f>44*C515/100</f>
        <v>110</v>
      </c>
      <c r="H515" s="42">
        <f>0.04*C515/100</f>
        <v>0.1</v>
      </c>
      <c r="I515" s="42">
        <f>5.54*C515/100</f>
        <v>13.85</v>
      </c>
      <c r="J515" s="42">
        <f>0.01*C515/100</f>
        <v>2.5000000000000001E-2</v>
      </c>
      <c r="K515" s="42">
        <f>0.14*C515/100</f>
        <v>0.35</v>
      </c>
      <c r="L515" s="48">
        <f>16.12*C515/100</f>
        <v>40.300000000000004</v>
      </c>
      <c r="M515" s="48">
        <f>26.21*C515/100</f>
        <v>65.525000000000006</v>
      </c>
      <c r="N515" s="48">
        <f>11.01*C515/100</f>
        <v>27.524999999999999</v>
      </c>
      <c r="O515" s="42">
        <f>0.48*C515/100</f>
        <v>1.2</v>
      </c>
      <c r="P515" s="49">
        <f>0.03*C515/100</f>
        <v>7.4999999999999997E-2</v>
      </c>
      <c r="Q515" s="49">
        <f>0.78*C515/100</f>
        <v>1.95</v>
      </c>
      <c r="R515" s="233">
        <v>110403</v>
      </c>
      <c r="S515" s="233">
        <v>110404</v>
      </c>
    </row>
    <row r="516" spans="1:19" s="63" customFormat="1" x14ac:dyDescent="0.2">
      <c r="A516" s="49">
        <v>3</v>
      </c>
      <c r="B516" s="47" t="s">
        <v>124</v>
      </c>
      <c r="C516" s="41">
        <v>10</v>
      </c>
      <c r="D516" s="42">
        <f>11.1*C516/100</f>
        <v>1.1100000000000001</v>
      </c>
      <c r="E516" s="42">
        <f>3.79*C516/100</f>
        <v>0.379</v>
      </c>
      <c r="F516" s="42">
        <f>76.15*C516/100</f>
        <v>7.6150000000000002</v>
      </c>
      <c r="G516" s="42">
        <f>390.39*C516/100</f>
        <v>39.038999999999994</v>
      </c>
      <c r="H516" s="42">
        <f>0.61*C516/100</f>
        <v>6.0999999999999999E-2</v>
      </c>
      <c r="I516" s="42">
        <f>0*C516/100</f>
        <v>0</v>
      </c>
      <c r="J516" s="42">
        <f>0*C516/100</f>
        <v>0</v>
      </c>
      <c r="K516" s="42">
        <f>0*C516/100</f>
        <v>0</v>
      </c>
      <c r="L516" s="48">
        <f>211.78*C516/100</f>
        <v>21.178000000000001</v>
      </c>
      <c r="M516" s="48">
        <f>0.25*C516/100</f>
        <v>2.5000000000000001E-2</v>
      </c>
      <c r="N516" s="48">
        <f>22.8*C516/100</f>
        <v>2.2799999999999998</v>
      </c>
      <c r="O516" s="42">
        <f>0.002*C516/100</f>
        <v>2.0000000000000001E-4</v>
      </c>
      <c r="P516" s="49">
        <f>0.44*C516/100</f>
        <v>4.4000000000000004E-2</v>
      </c>
      <c r="Q516" s="49">
        <v>0</v>
      </c>
      <c r="R516" s="233">
        <v>180601</v>
      </c>
      <c r="S516" s="233"/>
    </row>
    <row r="517" spans="1:19" s="63" customFormat="1" x14ac:dyDescent="0.2">
      <c r="A517" s="49">
        <v>4</v>
      </c>
      <c r="B517" s="47" t="s">
        <v>37</v>
      </c>
      <c r="C517" s="41">
        <v>200</v>
      </c>
      <c r="D517" s="42">
        <f>14*C517/100</f>
        <v>28</v>
      </c>
      <c r="E517" s="42">
        <f>3*C517/100</f>
        <v>6</v>
      </c>
      <c r="F517" s="42">
        <f>14.3*C517/100</f>
        <v>28.6</v>
      </c>
      <c r="G517" s="42">
        <f>140.2*C517/100</f>
        <v>280.39999999999998</v>
      </c>
      <c r="H517" s="42">
        <f>0.1*C517/100</f>
        <v>0.2</v>
      </c>
      <c r="I517" s="42">
        <f>4.37*C517/100</f>
        <v>8.74</v>
      </c>
      <c r="J517" s="42">
        <f>0.02*C517/100</f>
        <v>0.04</v>
      </c>
      <c r="K517" s="42">
        <f>0.19*C517/100</f>
        <v>0.38</v>
      </c>
      <c r="L517" s="48">
        <f>21.9*C517/100</f>
        <v>43.8</v>
      </c>
      <c r="M517" s="48">
        <f>141.56*C517/100</f>
        <v>283.12</v>
      </c>
      <c r="N517" s="48">
        <f>30.33*C517/100</f>
        <v>60.66</v>
      </c>
      <c r="O517" s="42">
        <f>2.15*C517/100</f>
        <v>4.3</v>
      </c>
      <c r="P517" s="49">
        <f>0.13*C517/100</f>
        <v>0.26</v>
      </c>
      <c r="Q517" s="49">
        <v>3.68</v>
      </c>
      <c r="R517" s="233">
        <v>120511</v>
      </c>
      <c r="S517" s="233">
        <v>120512</v>
      </c>
    </row>
    <row r="518" spans="1:19" s="37" customFormat="1" x14ac:dyDescent="0.2">
      <c r="A518" s="49">
        <v>5</v>
      </c>
      <c r="B518" s="47" t="s">
        <v>131</v>
      </c>
      <c r="C518" s="41">
        <v>200</v>
      </c>
      <c r="D518" s="42">
        <f>0.62*C518/100</f>
        <v>1.24</v>
      </c>
      <c r="E518" s="42">
        <f>0.04*C518/100</f>
        <v>0.08</v>
      </c>
      <c r="F518" s="42">
        <f>12.06*C518/100</f>
        <v>24.12</v>
      </c>
      <c r="G518" s="42">
        <f>41.81*C518/100</f>
        <v>83.62</v>
      </c>
      <c r="H518" s="42">
        <f>0.01*C518/100</f>
        <v>0.02</v>
      </c>
      <c r="I518" s="42">
        <f>0.48*C518/100</f>
        <v>0.96</v>
      </c>
      <c r="J518" s="42">
        <f>0*C518/100</f>
        <v>0</v>
      </c>
      <c r="K518" s="42">
        <v>0</v>
      </c>
      <c r="L518" s="48">
        <f>23.8*C518/100</f>
        <v>47.6</v>
      </c>
      <c r="M518" s="48">
        <f>17.52*C518/100</f>
        <v>35.04</v>
      </c>
      <c r="N518" s="48">
        <f>13.6*C518/100</f>
        <v>27.2</v>
      </c>
      <c r="O518" s="42">
        <f>0.39*C518/100</f>
        <v>0.78</v>
      </c>
      <c r="P518" s="62">
        <f>0.02*C518/100</f>
        <v>0.04</v>
      </c>
      <c r="Q518" s="62">
        <v>2.3199999999999998</v>
      </c>
      <c r="R518" s="233">
        <v>160210</v>
      </c>
      <c r="S518" s="233"/>
    </row>
    <row r="519" spans="1:19" s="63" customFormat="1" x14ac:dyDescent="0.2">
      <c r="A519" s="49">
        <v>6</v>
      </c>
      <c r="B519" s="47" t="s">
        <v>160</v>
      </c>
      <c r="C519" s="41">
        <v>40</v>
      </c>
      <c r="D519" s="42">
        <f>7.76*C519/100</f>
        <v>3.1039999999999996</v>
      </c>
      <c r="E519" s="42">
        <f>2.65*C519/100</f>
        <v>1.06</v>
      </c>
      <c r="F519" s="42">
        <f>53.25*C519/100</f>
        <v>21.3</v>
      </c>
      <c r="G519" s="42">
        <f>273*C519/100</f>
        <v>109.2</v>
      </c>
      <c r="H519" s="42">
        <f>0.34*C519/100</f>
        <v>0.13600000000000001</v>
      </c>
      <c r="I519" s="42">
        <f>0*C519/100</f>
        <v>0</v>
      </c>
      <c r="J519" s="42">
        <v>0</v>
      </c>
      <c r="K519" s="42">
        <f>1.5*C519/100</f>
        <v>0.6</v>
      </c>
      <c r="L519" s="48">
        <f>148.1*C519/100</f>
        <v>59.24</v>
      </c>
      <c r="M519" s="48">
        <f>0*C519/100</f>
        <v>0</v>
      </c>
      <c r="N519" s="48">
        <f>16*C519/100</f>
        <v>6.4</v>
      </c>
      <c r="O519" s="42">
        <f>2.4*C519/100</f>
        <v>0.96</v>
      </c>
      <c r="P519" s="56">
        <f>0.2*C519/100</f>
        <v>0.08</v>
      </c>
      <c r="Q519" s="56">
        <f>1.5*C519/100</f>
        <v>0.6</v>
      </c>
      <c r="R519" s="233">
        <v>200102</v>
      </c>
      <c r="S519" s="233"/>
    </row>
    <row r="520" spans="1:19" s="63" customFormat="1" x14ac:dyDescent="0.2">
      <c r="A520" s="49">
        <v>7</v>
      </c>
      <c r="B520" s="47" t="s">
        <v>159</v>
      </c>
      <c r="C520" s="41">
        <v>20</v>
      </c>
      <c r="D520" s="42">
        <f>5.86*C520/100</f>
        <v>1.1719999999999999</v>
      </c>
      <c r="E520" s="42">
        <f>0.94*C520/100</f>
        <v>0.18799999999999997</v>
      </c>
      <c r="F520" s="42">
        <f>44.4*C520/100</f>
        <v>8.8800000000000008</v>
      </c>
      <c r="G520" s="42">
        <f>189*C520/100</f>
        <v>37.799999999999997</v>
      </c>
      <c r="H520" s="42">
        <f>0.4*C520/100</f>
        <v>0.08</v>
      </c>
      <c r="I520" s="42">
        <f>0.03*C520/100</f>
        <v>6.0000000000000001E-3</v>
      </c>
      <c r="J520" s="42">
        <v>0</v>
      </c>
      <c r="K520" s="42">
        <f>1.7*C520/100</f>
        <v>0.34</v>
      </c>
      <c r="L520" s="48">
        <f>25.4*C520/100</f>
        <v>5.08</v>
      </c>
      <c r="M520" s="48">
        <f>105.53*C520/100</f>
        <v>21.105999999999998</v>
      </c>
      <c r="N520" s="48">
        <f>36.5*C520/100</f>
        <v>7.3</v>
      </c>
      <c r="O520" s="42">
        <f>2.45*C520/100</f>
        <v>0.49</v>
      </c>
      <c r="P520" s="56">
        <f>0.2*C520/100</f>
        <v>0.04</v>
      </c>
      <c r="Q520" s="56">
        <f>10*C520/100</f>
        <v>2</v>
      </c>
      <c r="R520" s="233">
        <v>200103</v>
      </c>
      <c r="S520" s="233"/>
    </row>
    <row r="521" spans="1:19" s="37" customFormat="1" x14ac:dyDescent="0.2">
      <c r="A521" s="49"/>
      <c r="B521" s="132" t="s">
        <v>4</v>
      </c>
      <c r="C521" s="120"/>
      <c r="D521" s="168">
        <f t="shared" ref="D521:Q521" si="90">SUM(D514:D520)</f>
        <v>37.225999999999999</v>
      </c>
      <c r="E521" s="168">
        <f t="shared" si="90"/>
        <v>17.706999999999994</v>
      </c>
      <c r="F521" s="168">
        <f t="shared" si="90"/>
        <v>111.21499999999999</v>
      </c>
      <c r="G521" s="168">
        <f t="shared" si="90"/>
        <v>733.25900000000001</v>
      </c>
      <c r="H521" s="168">
        <f t="shared" si="90"/>
        <v>0.621</v>
      </c>
      <c r="I521" s="168">
        <f t="shared" si="90"/>
        <v>24.696000000000002</v>
      </c>
      <c r="J521" s="168">
        <f t="shared" si="90"/>
        <v>6.5000000000000002E-2</v>
      </c>
      <c r="K521" s="168">
        <f t="shared" si="90"/>
        <v>1.6700000000000002</v>
      </c>
      <c r="L521" s="167">
        <f t="shared" si="90"/>
        <v>242.63800000000003</v>
      </c>
      <c r="M521" s="167">
        <f t="shared" si="90"/>
        <v>404.81600000000003</v>
      </c>
      <c r="N521" s="167">
        <f t="shared" si="90"/>
        <v>131.36500000000001</v>
      </c>
      <c r="O521" s="168">
        <f t="shared" si="90"/>
        <v>17.090199999999996</v>
      </c>
      <c r="P521" s="125">
        <f t="shared" si="90"/>
        <v>0.57500000000000007</v>
      </c>
      <c r="Q521" s="125">
        <f t="shared" si="90"/>
        <v>13.31</v>
      </c>
      <c r="R521" s="233"/>
      <c r="S521" s="233"/>
    </row>
    <row r="522" spans="1:19" s="37" customFormat="1" ht="18" x14ac:dyDescent="0.2">
      <c r="A522" s="300" t="s">
        <v>35</v>
      </c>
      <c r="B522" s="302"/>
      <c r="C522" s="302"/>
      <c r="D522" s="302"/>
      <c r="E522" s="302"/>
      <c r="F522" s="302"/>
      <c r="G522" s="302"/>
      <c r="H522" s="302"/>
      <c r="I522" s="302"/>
      <c r="J522" s="302"/>
      <c r="K522" s="302"/>
      <c r="L522" s="302"/>
      <c r="M522" s="302"/>
      <c r="N522" s="302"/>
      <c r="O522" s="302"/>
      <c r="P522" s="302"/>
      <c r="Q522" s="302"/>
      <c r="R522" s="302"/>
      <c r="S522" s="303"/>
    </row>
    <row r="523" spans="1:19" s="63" customFormat="1" x14ac:dyDescent="0.2">
      <c r="A523" s="49">
        <v>1</v>
      </c>
      <c r="B523" s="47" t="s">
        <v>259</v>
      </c>
      <c r="C523" s="41">
        <v>50</v>
      </c>
      <c r="D523" s="94">
        <f>11.4*C523/100</f>
        <v>5.7</v>
      </c>
      <c r="E523" s="94">
        <f>6.2*C523/100</f>
        <v>3.1</v>
      </c>
      <c r="F523" s="94">
        <f>54.8*C523/100</f>
        <v>27.4</v>
      </c>
      <c r="G523" s="94">
        <f>321*C523/100</f>
        <v>160.5</v>
      </c>
      <c r="H523" s="42">
        <f>0.17*C523/100</f>
        <v>8.5000000000000006E-2</v>
      </c>
      <c r="I523" s="42">
        <f>3.2*C523/100</f>
        <v>1.6</v>
      </c>
      <c r="J523" s="42">
        <f>0.02*C523/100</f>
        <v>0.01</v>
      </c>
      <c r="K523" s="42">
        <f>1*C523/100</f>
        <v>0.5</v>
      </c>
      <c r="L523" s="48">
        <f>12.46*C523/100</f>
        <v>6.23</v>
      </c>
      <c r="M523" s="48">
        <f>55.81*C523/100</f>
        <v>27.905000000000001</v>
      </c>
      <c r="N523" s="48">
        <f>10.75*C523/100</f>
        <v>5.375</v>
      </c>
      <c r="O523" s="42">
        <f>0.82*C523/100</f>
        <v>0.41</v>
      </c>
      <c r="P523" s="49">
        <f>0.04*C523/100</f>
        <v>0.02</v>
      </c>
      <c r="Q523" s="49">
        <v>0.87</v>
      </c>
      <c r="R523" s="233">
        <v>190102</v>
      </c>
      <c r="S523" s="233">
        <v>190103</v>
      </c>
    </row>
    <row r="524" spans="1:19" s="52" customFormat="1" x14ac:dyDescent="0.2">
      <c r="A524" s="49">
        <v>2</v>
      </c>
      <c r="B524" s="47" t="s">
        <v>281</v>
      </c>
      <c r="C524" s="41">
        <v>200</v>
      </c>
      <c r="D524" s="94">
        <f>2.8*C524/100</f>
        <v>5.6</v>
      </c>
      <c r="E524" s="94">
        <v>6.4</v>
      </c>
      <c r="F524" s="94">
        <v>8.1999999999999993</v>
      </c>
      <c r="G524" s="94">
        <v>112</v>
      </c>
      <c r="H524" s="42">
        <f>0.04*C524/100</f>
        <v>0.08</v>
      </c>
      <c r="I524" s="42">
        <f>0.6*C524/100</f>
        <v>1.2</v>
      </c>
      <c r="J524" s="42">
        <v>0.04</v>
      </c>
      <c r="K524" s="42">
        <f>0*C524/100</f>
        <v>0</v>
      </c>
      <c r="L524" s="48">
        <v>240</v>
      </c>
      <c r="M524" s="48">
        <f>96*C524/100</f>
        <v>192</v>
      </c>
      <c r="N524" s="48">
        <f>15*C524/100</f>
        <v>30</v>
      </c>
      <c r="O524" s="42">
        <v>0.2</v>
      </c>
      <c r="P524" s="49">
        <v>0.2</v>
      </c>
      <c r="Q524" s="49">
        <v>9</v>
      </c>
      <c r="R524" s="233">
        <v>230103</v>
      </c>
      <c r="S524" s="233"/>
    </row>
    <row r="525" spans="1:19" s="37" customFormat="1" x14ac:dyDescent="0.2">
      <c r="A525" s="49"/>
      <c r="B525" s="132" t="s">
        <v>4</v>
      </c>
      <c r="C525" s="120"/>
      <c r="D525" s="169">
        <f t="shared" ref="D525:Q525" si="91">SUM(D523:D524)</f>
        <v>11.3</v>
      </c>
      <c r="E525" s="169">
        <f t="shared" si="91"/>
        <v>9.5</v>
      </c>
      <c r="F525" s="169">
        <f t="shared" si="91"/>
        <v>35.599999999999994</v>
      </c>
      <c r="G525" s="169">
        <f t="shared" si="91"/>
        <v>272.5</v>
      </c>
      <c r="H525" s="169">
        <f t="shared" si="91"/>
        <v>0.16500000000000001</v>
      </c>
      <c r="I525" s="169">
        <f t="shared" si="91"/>
        <v>2.8</v>
      </c>
      <c r="J525" s="169">
        <f t="shared" si="91"/>
        <v>0.05</v>
      </c>
      <c r="K525" s="169">
        <f t="shared" si="91"/>
        <v>0.5</v>
      </c>
      <c r="L525" s="152">
        <f t="shared" si="91"/>
        <v>246.23</v>
      </c>
      <c r="M525" s="152">
        <f t="shared" si="91"/>
        <v>219.905</v>
      </c>
      <c r="N525" s="152">
        <f t="shared" si="91"/>
        <v>35.375</v>
      </c>
      <c r="O525" s="169">
        <f t="shared" si="91"/>
        <v>0.61</v>
      </c>
      <c r="P525" s="125">
        <f t="shared" si="91"/>
        <v>0.22</v>
      </c>
      <c r="Q525" s="125">
        <f t="shared" si="91"/>
        <v>9.8699999999999992</v>
      </c>
      <c r="R525" s="233"/>
      <c r="S525" s="233"/>
    </row>
    <row r="526" spans="1:19" s="37" customFormat="1" x14ac:dyDescent="0.2">
      <c r="A526" s="49"/>
      <c r="B526" s="132" t="s">
        <v>7</v>
      </c>
      <c r="C526" s="120"/>
      <c r="D526" s="168">
        <f t="shared" ref="D526:Q526" si="92">D512+D521+D525</f>
        <v>72.942999999999998</v>
      </c>
      <c r="E526" s="168">
        <f t="shared" si="92"/>
        <v>67.796999999999997</v>
      </c>
      <c r="F526" s="168">
        <f t="shared" si="92"/>
        <v>172.23</v>
      </c>
      <c r="G526" s="168">
        <f t="shared" si="92"/>
        <v>1573.3389999999999</v>
      </c>
      <c r="H526" s="168">
        <f t="shared" si="92"/>
        <v>0.91400000000000003</v>
      </c>
      <c r="I526" s="168">
        <f t="shared" si="92"/>
        <v>32.305999999999997</v>
      </c>
      <c r="J526" s="168">
        <f t="shared" si="92"/>
        <v>0.20500000000000002</v>
      </c>
      <c r="K526" s="168">
        <f t="shared" si="92"/>
        <v>2.6850000000000001</v>
      </c>
      <c r="L526" s="167">
        <f t="shared" si="92"/>
        <v>767.08799999999997</v>
      </c>
      <c r="M526" s="167">
        <f t="shared" si="92"/>
        <v>863.36599999999999</v>
      </c>
      <c r="N526" s="167">
        <f t="shared" si="92"/>
        <v>199.75</v>
      </c>
      <c r="O526" s="168">
        <f t="shared" si="92"/>
        <v>19.810199999999995</v>
      </c>
      <c r="P526" s="168">
        <f t="shared" si="92"/>
        <v>0.95500000000000007</v>
      </c>
      <c r="Q526" s="168">
        <f t="shared" si="92"/>
        <v>29.11</v>
      </c>
      <c r="R526" s="233"/>
      <c r="S526" s="233"/>
    </row>
    <row r="527" spans="1:19" s="37" customFormat="1" x14ac:dyDescent="0.2">
      <c r="A527" s="275" t="s">
        <v>62</v>
      </c>
      <c r="B527" s="276"/>
      <c r="C527" s="276"/>
      <c r="D527" s="276"/>
      <c r="E527" s="276"/>
      <c r="F527" s="276"/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278"/>
    </row>
    <row r="528" spans="1:19" s="37" customFormat="1" ht="18" x14ac:dyDescent="0.2">
      <c r="A528" s="300" t="s">
        <v>3</v>
      </c>
      <c r="B528" s="302"/>
      <c r="C528" s="302"/>
      <c r="D528" s="302"/>
      <c r="E528" s="302"/>
      <c r="F528" s="302"/>
      <c r="G528" s="302"/>
      <c r="H528" s="302"/>
      <c r="I528" s="302"/>
      <c r="J528" s="302"/>
      <c r="K528" s="302"/>
      <c r="L528" s="302"/>
      <c r="M528" s="302"/>
      <c r="N528" s="302"/>
      <c r="O528" s="302"/>
      <c r="P528" s="302"/>
      <c r="Q528" s="302"/>
      <c r="R528" s="302"/>
      <c r="S528" s="303"/>
    </row>
    <row r="529" spans="1:19" s="64" customFormat="1" ht="19.5" customHeight="1" x14ac:dyDescent="0.3">
      <c r="A529" s="49">
        <v>1</v>
      </c>
      <c r="B529" s="47" t="s">
        <v>226</v>
      </c>
      <c r="C529" s="41">
        <v>150</v>
      </c>
      <c r="D529" s="116">
        <f>15.4*C529/100</f>
        <v>23.1</v>
      </c>
      <c r="E529" s="116">
        <f>4.1*C529/100</f>
        <v>6.15</v>
      </c>
      <c r="F529" s="116">
        <f>16.2*C529/100</f>
        <v>24.3</v>
      </c>
      <c r="G529" s="116">
        <f>142.8*C529/100</f>
        <v>214.2</v>
      </c>
      <c r="H529" s="42">
        <f>C529*0.05/100</f>
        <v>7.4999999999999997E-2</v>
      </c>
      <c r="I529" s="42">
        <f>0.21*C529/100</f>
        <v>0.315</v>
      </c>
      <c r="J529" s="42">
        <f>C529*0.05/100</f>
        <v>7.4999999999999997E-2</v>
      </c>
      <c r="K529" s="42">
        <f>C529*0.35/100</f>
        <v>0.52500000000000002</v>
      </c>
      <c r="L529" s="42">
        <f>C529*129.32/100</f>
        <v>193.98</v>
      </c>
      <c r="M529" s="42">
        <f>C529*183.98/100</f>
        <v>275.97000000000003</v>
      </c>
      <c r="N529" s="42">
        <f>C529*21.41/100</f>
        <v>32.115000000000002</v>
      </c>
      <c r="O529" s="42">
        <f>C529*0.62/100</f>
        <v>0.93</v>
      </c>
      <c r="P529" s="128">
        <f>0.22*C529/100</f>
        <v>0.33</v>
      </c>
      <c r="Q529" s="128">
        <v>22.98</v>
      </c>
      <c r="R529" s="232">
        <v>120311</v>
      </c>
      <c r="S529" s="235">
        <v>120312</v>
      </c>
    </row>
    <row r="530" spans="1:19" s="64" customFormat="1" ht="19.5" customHeight="1" x14ac:dyDescent="0.3">
      <c r="A530" s="49">
        <v>2</v>
      </c>
      <c r="B530" s="47" t="s">
        <v>141</v>
      </c>
      <c r="C530" s="41">
        <v>30</v>
      </c>
      <c r="D530" s="116">
        <f>7.5*C530/100</f>
        <v>2.25</v>
      </c>
      <c r="E530" s="116">
        <f>5*C530/100</f>
        <v>1.5</v>
      </c>
      <c r="F530" s="116">
        <f>55.2*C530/100</f>
        <v>16.559999999999999</v>
      </c>
      <c r="G530" s="116">
        <f>295*C530/100</f>
        <v>88.5</v>
      </c>
      <c r="H530" s="42">
        <f>0.06*C530/100</f>
        <v>1.7999999999999999E-2</v>
      </c>
      <c r="I530" s="42">
        <f>1*C530/100</f>
        <v>0.3</v>
      </c>
      <c r="J530" s="42">
        <f>0.04*C530/100</f>
        <v>1.2E-2</v>
      </c>
      <c r="K530" s="42">
        <f>0.2*C530/100</f>
        <v>0.06</v>
      </c>
      <c r="L530" s="42">
        <f>307*C530/100</f>
        <v>92.1</v>
      </c>
      <c r="M530" s="42">
        <f>219*C530/100</f>
        <v>65.7</v>
      </c>
      <c r="N530" s="42">
        <f>34*C530/100</f>
        <v>10.199999999999999</v>
      </c>
      <c r="O530" s="42">
        <f>0.2*C530/100</f>
        <v>0.06</v>
      </c>
      <c r="P530" s="128">
        <f>0.38*C530/100</f>
        <v>0.114</v>
      </c>
      <c r="Q530" s="128">
        <f>9*C530/100</f>
        <v>2.7</v>
      </c>
      <c r="R530" s="232">
        <v>140201</v>
      </c>
      <c r="S530" s="235"/>
    </row>
    <row r="531" spans="1:19" s="63" customFormat="1" x14ac:dyDescent="0.2">
      <c r="A531" s="49">
        <v>3</v>
      </c>
      <c r="B531" s="47" t="s">
        <v>233</v>
      </c>
      <c r="C531" s="41">
        <v>200</v>
      </c>
      <c r="D531" s="166">
        <f>0*C531/100</f>
        <v>0</v>
      </c>
      <c r="E531" s="166">
        <f>0*C531/100</f>
        <v>0</v>
      </c>
      <c r="F531" s="166">
        <f>0*C531/100</f>
        <v>0</v>
      </c>
      <c r="G531" s="166">
        <f>17*C531/100</f>
        <v>34</v>
      </c>
      <c r="H531" s="42">
        <v>0</v>
      </c>
      <c r="I531" s="42">
        <v>0</v>
      </c>
      <c r="J531" s="42">
        <v>0</v>
      </c>
      <c r="K531" s="42">
        <v>0</v>
      </c>
      <c r="L531" s="48">
        <v>4.8600000000000003</v>
      </c>
      <c r="M531" s="48">
        <v>0</v>
      </c>
      <c r="N531" s="48">
        <v>1.08</v>
      </c>
      <c r="O531" s="42">
        <v>0</v>
      </c>
      <c r="P531" s="49">
        <v>0</v>
      </c>
      <c r="Q531" s="49">
        <v>0</v>
      </c>
      <c r="R531" s="233">
        <v>160107</v>
      </c>
      <c r="S531" s="233"/>
    </row>
    <row r="532" spans="1:19" s="63" customFormat="1" x14ac:dyDescent="0.3">
      <c r="A532" s="49">
        <v>4</v>
      </c>
      <c r="B532" s="47" t="s">
        <v>140</v>
      </c>
      <c r="C532" s="41">
        <v>10</v>
      </c>
      <c r="D532" s="166">
        <f>0*C532/100</f>
        <v>0</v>
      </c>
      <c r="E532" s="166">
        <f>0*C532/100</f>
        <v>0</v>
      </c>
      <c r="F532" s="166">
        <f>99.8*C532/100</f>
        <v>9.98</v>
      </c>
      <c r="G532" s="166">
        <f>374.3*C532/100</f>
        <v>37.43</v>
      </c>
      <c r="H532" s="42">
        <v>0</v>
      </c>
      <c r="I532" s="42">
        <v>0</v>
      </c>
      <c r="J532" s="42">
        <v>0</v>
      </c>
      <c r="K532" s="42">
        <v>0</v>
      </c>
      <c r="L532" s="42">
        <v>0.2</v>
      </c>
      <c r="M532" s="42">
        <v>0</v>
      </c>
      <c r="N532" s="42">
        <v>0</v>
      </c>
      <c r="O532" s="42">
        <v>0.03</v>
      </c>
      <c r="P532" s="55">
        <v>0</v>
      </c>
      <c r="Q532" s="55">
        <v>0</v>
      </c>
      <c r="R532" s="233"/>
      <c r="S532" s="233"/>
    </row>
    <row r="533" spans="1:19" s="63" customFormat="1" x14ac:dyDescent="0.2">
      <c r="A533" s="49">
        <v>5</v>
      </c>
      <c r="B533" s="47" t="s">
        <v>160</v>
      </c>
      <c r="C533" s="41">
        <v>20</v>
      </c>
      <c r="D533" s="42">
        <f>7.76*C533/100</f>
        <v>1.5519999999999998</v>
      </c>
      <c r="E533" s="42">
        <f>2.65*C533/100</f>
        <v>0.53</v>
      </c>
      <c r="F533" s="42">
        <f>53.25*C533/100</f>
        <v>10.65</v>
      </c>
      <c r="G533" s="42">
        <f>273*C533/100</f>
        <v>54.6</v>
      </c>
      <c r="H533" s="42">
        <f>0.34*C533/100</f>
        <v>6.8000000000000005E-2</v>
      </c>
      <c r="I533" s="42">
        <f>0*C533/100</f>
        <v>0</v>
      </c>
      <c r="J533" s="42">
        <v>0</v>
      </c>
      <c r="K533" s="42">
        <f>1.5*C533/100</f>
        <v>0.3</v>
      </c>
      <c r="L533" s="48">
        <f>148.1*C533/100</f>
        <v>29.62</v>
      </c>
      <c r="M533" s="48">
        <f>0*C533/100</f>
        <v>0</v>
      </c>
      <c r="N533" s="48">
        <f>16*C533/100</f>
        <v>3.2</v>
      </c>
      <c r="O533" s="42">
        <f>2.4*C533/100</f>
        <v>0.48</v>
      </c>
      <c r="P533" s="56">
        <f>0.2*C533/100</f>
        <v>0.04</v>
      </c>
      <c r="Q533" s="56">
        <f>1.5*C533/100</f>
        <v>0.3</v>
      </c>
      <c r="R533" s="233">
        <v>200102</v>
      </c>
      <c r="S533" s="233"/>
    </row>
    <row r="534" spans="1:19" s="63" customFormat="1" ht="37.5" x14ac:dyDescent="0.2">
      <c r="A534" s="49">
        <v>6</v>
      </c>
      <c r="B534" s="47" t="s">
        <v>164</v>
      </c>
      <c r="C534" s="41">
        <v>10</v>
      </c>
      <c r="D534" s="42">
        <f>0.5*C534/100</f>
        <v>0.05</v>
      </c>
      <c r="E534" s="42">
        <f>82.5*C534/100</f>
        <v>8.25</v>
      </c>
      <c r="F534" s="42">
        <f>0.8*C534/100</f>
        <v>0.08</v>
      </c>
      <c r="G534" s="42">
        <f>748*C534/100</f>
        <v>74.8</v>
      </c>
      <c r="H534" s="42">
        <v>0</v>
      </c>
      <c r="I534" s="42">
        <v>0</v>
      </c>
      <c r="J534" s="42">
        <f>0.4*C534/100</f>
        <v>0.04</v>
      </c>
      <c r="K534" s="42">
        <f>1*C534/100</f>
        <v>0.1</v>
      </c>
      <c r="L534" s="48">
        <f>12*C534/100</f>
        <v>1.2</v>
      </c>
      <c r="M534" s="48">
        <f>19*C534/100</f>
        <v>1.9</v>
      </c>
      <c r="N534" s="48">
        <f>0*C534/100</f>
        <v>0</v>
      </c>
      <c r="O534" s="42">
        <f>0.2*C534/100</f>
        <v>0.02</v>
      </c>
      <c r="P534" s="56">
        <f>0.1*C534/100</f>
        <v>0.01</v>
      </c>
      <c r="Q534" s="49">
        <v>0</v>
      </c>
      <c r="R534" s="233"/>
      <c r="S534" s="233"/>
    </row>
    <row r="535" spans="1:19" s="37" customFormat="1" x14ac:dyDescent="0.2">
      <c r="A535" s="49">
        <v>7</v>
      </c>
      <c r="B535" s="47" t="s">
        <v>232</v>
      </c>
      <c r="C535" s="41" t="s">
        <v>274</v>
      </c>
      <c r="D535" s="42">
        <v>1.36</v>
      </c>
      <c r="E535" s="42">
        <v>0.34</v>
      </c>
      <c r="F535" s="42">
        <v>13.77</v>
      </c>
      <c r="G535" s="42">
        <v>73.099999999999994</v>
      </c>
      <c r="H535" s="42">
        <v>6.8000000000000005E-2</v>
      </c>
      <c r="I535" s="42">
        <v>102</v>
      </c>
      <c r="J535" s="42">
        <v>0</v>
      </c>
      <c r="K535" s="42">
        <v>0.34</v>
      </c>
      <c r="L535" s="48">
        <v>57.8</v>
      </c>
      <c r="M535" s="48">
        <v>39.1</v>
      </c>
      <c r="N535" s="48">
        <v>22.1</v>
      </c>
      <c r="O535" s="42">
        <v>0</v>
      </c>
      <c r="P535" s="49">
        <v>5.0999999999999997E-2</v>
      </c>
      <c r="Q535" s="49">
        <v>2</v>
      </c>
      <c r="R535" s="233">
        <v>210102</v>
      </c>
      <c r="S535" s="233"/>
    </row>
    <row r="536" spans="1:19" s="37" customFormat="1" x14ac:dyDescent="0.2">
      <c r="A536" s="49"/>
      <c r="B536" s="132" t="s">
        <v>4</v>
      </c>
      <c r="C536" s="120"/>
      <c r="D536" s="169">
        <f t="shared" ref="D536:Q536" si="93">SUM(D529:D535)</f>
        <v>28.312000000000001</v>
      </c>
      <c r="E536" s="169">
        <f t="shared" si="93"/>
        <v>16.77</v>
      </c>
      <c r="F536" s="169">
        <f t="shared" si="93"/>
        <v>75.34</v>
      </c>
      <c r="G536" s="169">
        <f t="shared" si="93"/>
        <v>576.63</v>
      </c>
      <c r="H536" s="169">
        <f t="shared" si="93"/>
        <v>0.22900000000000001</v>
      </c>
      <c r="I536" s="169">
        <f t="shared" si="93"/>
        <v>102.61499999999999</v>
      </c>
      <c r="J536" s="169">
        <f t="shared" si="93"/>
        <v>0.127</v>
      </c>
      <c r="K536" s="169">
        <f t="shared" si="93"/>
        <v>1.325</v>
      </c>
      <c r="L536" s="152">
        <f t="shared" si="93"/>
        <v>379.76</v>
      </c>
      <c r="M536" s="152">
        <f t="shared" si="93"/>
        <v>382.67</v>
      </c>
      <c r="N536" s="152">
        <f t="shared" si="93"/>
        <v>68.694999999999993</v>
      </c>
      <c r="O536" s="169">
        <f t="shared" si="93"/>
        <v>1.52</v>
      </c>
      <c r="P536" s="125">
        <f t="shared" si="93"/>
        <v>0.54500000000000004</v>
      </c>
      <c r="Q536" s="125">
        <f t="shared" si="93"/>
        <v>27.98</v>
      </c>
      <c r="R536" s="233"/>
      <c r="S536" s="233"/>
    </row>
    <row r="537" spans="1:19" s="37" customFormat="1" ht="18" x14ac:dyDescent="0.2">
      <c r="A537" s="300" t="s">
        <v>5</v>
      </c>
      <c r="B537" s="302"/>
      <c r="C537" s="302"/>
      <c r="D537" s="302"/>
      <c r="E537" s="302"/>
      <c r="F537" s="302"/>
      <c r="G537" s="302"/>
      <c r="H537" s="302"/>
      <c r="I537" s="302"/>
      <c r="J537" s="302"/>
      <c r="K537" s="302"/>
      <c r="L537" s="302"/>
      <c r="M537" s="302"/>
      <c r="N537" s="302"/>
      <c r="O537" s="302"/>
      <c r="P537" s="302"/>
      <c r="Q537" s="302"/>
      <c r="R537" s="302"/>
      <c r="S537" s="303"/>
    </row>
    <row r="538" spans="1:19" s="63" customFormat="1" ht="37.5" x14ac:dyDescent="0.2">
      <c r="A538" s="49">
        <v>1</v>
      </c>
      <c r="B538" s="47" t="s">
        <v>129</v>
      </c>
      <c r="C538" s="41">
        <v>60</v>
      </c>
      <c r="D538" s="42">
        <f>5.71*C538/100</f>
        <v>3.4260000000000002</v>
      </c>
      <c r="E538" s="42">
        <f>5.44*C538/100</f>
        <v>3.2640000000000002</v>
      </c>
      <c r="F538" s="42">
        <f>26.29*C538/100</f>
        <v>15.773999999999999</v>
      </c>
      <c r="G538" s="42">
        <f>176.91*C538/100</f>
        <v>106.146</v>
      </c>
      <c r="H538" s="42">
        <f>0.018*$C538/100</f>
        <v>1.0799999999999999E-2</v>
      </c>
      <c r="I538" s="42">
        <f>29.06*$C538/100</f>
        <v>17.436</v>
      </c>
      <c r="J538" s="42">
        <f>0.02*$C538/100</f>
        <v>1.2E-2</v>
      </c>
      <c r="K538" s="42">
        <f>0.04*$C538/100</f>
        <v>2.4E-2</v>
      </c>
      <c r="L538" s="48">
        <f>22.94*$C538/100</f>
        <v>13.764000000000001</v>
      </c>
      <c r="M538" s="48">
        <f>143.46*$C538/100</f>
        <v>86.076000000000008</v>
      </c>
      <c r="N538" s="48">
        <f>45.45*$C538/100</f>
        <v>27.27</v>
      </c>
      <c r="O538" s="42">
        <f>1.88*$C538/100</f>
        <v>1.1279999999999999</v>
      </c>
      <c r="P538" s="49">
        <f>0.12*C538/100</f>
        <v>7.1999999999999995E-2</v>
      </c>
      <c r="Q538" s="49">
        <v>4.32</v>
      </c>
      <c r="R538" s="233">
        <v>100508</v>
      </c>
      <c r="S538" s="233"/>
    </row>
    <row r="539" spans="1:19" s="63" customFormat="1" x14ac:dyDescent="0.2">
      <c r="A539" s="49">
        <v>2</v>
      </c>
      <c r="B539" s="47" t="s">
        <v>178</v>
      </c>
      <c r="C539" s="41">
        <v>250</v>
      </c>
      <c r="D539" s="42">
        <f>1.3*C539/100</f>
        <v>3.25</v>
      </c>
      <c r="E539" s="42">
        <f>1.5*C539/100</f>
        <v>3.75</v>
      </c>
      <c r="F539" s="42">
        <f>4.3*C539/100</f>
        <v>10.75</v>
      </c>
      <c r="G539" s="42">
        <f>35.9*C539/100</f>
        <v>89.75</v>
      </c>
      <c r="H539" s="42">
        <f>0.04*C539/100</f>
        <v>0.1</v>
      </c>
      <c r="I539" s="42">
        <f>4.86*C539/100</f>
        <v>12.15</v>
      </c>
      <c r="J539" s="42">
        <f>0.01*C539/100</f>
        <v>2.5000000000000001E-2</v>
      </c>
      <c r="K539" s="42">
        <f>0.19*C539/100</f>
        <v>0.47499999999999998</v>
      </c>
      <c r="L539" s="48">
        <f>19.8*C539/100</f>
        <v>49.5</v>
      </c>
      <c r="M539" s="48">
        <f>69.71*C539/100</f>
        <v>174.27500000000001</v>
      </c>
      <c r="N539" s="48">
        <f>15.1*C539/100</f>
        <v>37.75</v>
      </c>
      <c r="O539" s="42">
        <f>0.47*C539/100</f>
        <v>1.175</v>
      </c>
      <c r="P539" s="49">
        <f>0.05*C539/100</f>
        <v>0.125</v>
      </c>
      <c r="Q539" s="49">
        <v>39.43</v>
      </c>
      <c r="R539" s="233">
        <v>110316</v>
      </c>
      <c r="S539" s="233">
        <v>110317</v>
      </c>
    </row>
    <row r="540" spans="1:19" s="63" customFormat="1" x14ac:dyDescent="0.2">
      <c r="A540" s="49">
        <v>3</v>
      </c>
      <c r="B540" s="47" t="s">
        <v>221</v>
      </c>
      <c r="C540" s="41">
        <v>200</v>
      </c>
      <c r="D540" s="42">
        <f>8.2*C540/100</f>
        <v>16.399999999999999</v>
      </c>
      <c r="E540" s="42">
        <f>4.8*C540/100</f>
        <v>9.6</v>
      </c>
      <c r="F540" s="42">
        <f>23.5*C540/100</f>
        <v>47</v>
      </c>
      <c r="G540" s="42">
        <f>170*C540/100</f>
        <v>340</v>
      </c>
      <c r="H540" s="42">
        <f>0.2*C540/100</f>
        <v>0.4</v>
      </c>
      <c r="I540" s="42">
        <f>1.96*C540/100</f>
        <v>3.92</v>
      </c>
      <c r="J540" s="42">
        <f>1.61*C540/100</f>
        <v>3.22</v>
      </c>
      <c r="K540" s="42">
        <f>0.59*C540/100</f>
        <v>1.18</v>
      </c>
      <c r="L540" s="48">
        <f>36*C540/100</f>
        <v>72</v>
      </c>
      <c r="M540" s="48">
        <f>204.6*C540/100</f>
        <v>409.2</v>
      </c>
      <c r="N540" s="48">
        <f>49.35*C540/100</f>
        <v>98.7</v>
      </c>
      <c r="O540" s="42">
        <f>2.56*C540/100</f>
        <v>5.12</v>
      </c>
      <c r="P540" s="49">
        <f>0.12*C540/100</f>
        <v>0.24</v>
      </c>
      <c r="Q540" s="49">
        <v>0</v>
      </c>
      <c r="R540" s="233">
        <v>120607</v>
      </c>
      <c r="S540" s="233">
        <v>120608</v>
      </c>
    </row>
    <row r="541" spans="1:19" s="37" customFormat="1" x14ac:dyDescent="0.2">
      <c r="A541" s="49">
        <v>4</v>
      </c>
      <c r="B541" s="47" t="s">
        <v>126</v>
      </c>
      <c r="C541" s="41">
        <v>200</v>
      </c>
      <c r="D541" s="42">
        <f>0.08*C541/100</f>
        <v>0.16</v>
      </c>
      <c r="E541" s="42">
        <f>0.06*C541/100</f>
        <v>0.12</v>
      </c>
      <c r="F541" s="42">
        <f>8*C541/100</f>
        <v>16</v>
      </c>
      <c r="G541" s="42">
        <f>23.36*C541/100</f>
        <v>46.72</v>
      </c>
      <c r="H541" s="42">
        <f>0*C541/100</f>
        <v>0</v>
      </c>
      <c r="I541" s="42">
        <f>1*C541/100</f>
        <v>2</v>
      </c>
      <c r="J541" s="42">
        <f>0*C541/100</f>
        <v>0</v>
      </c>
      <c r="K541" s="42">
        <f>0.08*C541/100</f>
        <v>0.16</v>
      </c>
      <c r="L541" s="48">
        <f>7.96*C541/100</f>
        <v>15.92</v>
      </c>
      <c r="M541" s="48">
        <f>3.2*C541/100</f>
        <v>6.4</v>
      </c>
      <c r="N541" s="48">
        <f>3.3*C541/100</f>
        <v>6.6</v>
      </c>
      <c r="O541" s="42">
        <f>0.47*C541/100</f>
        <v>0.94</v>
      </c>
      <c r="P541" s="62">
        <f>0.01*C541/100</f>
        <v>0.02</v>
      </c>
      <c r="Q541" s="62">
        <v>2.3199999999999998</v>
      </c>
      <c r="R541" s="233">
        <v>160208</v>
      </c>
      <c r="S541" s="233"/>
    </row>
    <row r="542" spans="1:19" s="63" customFormat="1" x14ac:dyDescent="0.2">
      <c r="A542" s="49">
        <v>5</v>
      </c>
      <c r="B542" s="47" t="s">
        <v>160</v>
      </c>
      <c r="C542" s="41">
        <v>40</v>
      </c>
      <c r="D542" s="42">
        <f>7.76*C542/100</f>
        <v>3.1039999999999996</v>
      </c>
      <c r="E542" s="42">
        <f>2.65*C542/100</f>
        <v>1.06</v>
      </c>
      <c r="F542" s="42">
        <f>53.25*C542/100</f>
        <v>21.3</v>
      </c>
      <c r="G542" s="42">
        <f>273*C542/100</f>
        <v>109.2</v>
      </c>
      <c r="H542" s="42">
        <f>0.34*C542/100</f>
        <v>0.13600000000000001</v>
      </c>
      <c r="I542" s="42">
        <f>0*C542/100</f>
        <v>0</v>
      </c>
      <c r="J542" s="42">
        <v>0</v>
      </c>
      <c r="K542" s="42">
        <f>1.5*C542/100</f>
        <v>0.6</v>
      </c>
      <c r="L542" s="48">
        <f>148.1*C542/100</f>
        <v>59.24</v>
      </c>
      <c r="M542" s="48">
        <f>0*C542/100</f>
        <v>0</v>
      </c>
      <c r="N542" s="48">
        <f>16*C542/100</f>
        <v>6.4</v>
      </c>
      <c r="O542" s="42">
        <f>2.4*C542/100</f>
        <v>0.96</v>
      </c>
      <c r="P542" s="56">
        <f>0.2*C542/100</f>
        <v>0.08</v>
      </c>
      <c r="Q542" s="56">
        <f>1.5*C542/100</f>
        <v>0.6</v>
      </c>
      <c r="R542" s="233">
        <v>200102</v>
      </c>
      <c r="S542" s="233"/>
    </row>
    <row r="543" spans="1:19" s="63" customFormat="1" x14ac:dyDescent="0.2">
      <c r="A543" s="49">
        <v>6</v>
      </c>
      <c r="B543" s="47" t="s">
        <v>159</v>
      </c>
      <c r="C543" s="41">
        <v>20</v>
      </c>
      <c r="D543" s="42">
        <f>5.86*C543/100</f>
        <v>1.1719999999999999</v>
      </c>
      <c r="E543" s="42">
        <f>0.94*C543/100</f>
        <v>0.18799999999999997</v>
      </c>
      <c r="F543" s="42">
        <f>44.4*C543/100</f>
        <v>8.8800000000000008</v>
      </c>
      <c r="G543" s="42">
        <f>189*C543/100</f>
        <v>37.799999999999997</v>
      </c>
      <c r="H543" s="42">
        <f>0.4*C543/100</f>
        <v>0.08</v>
      </c>
      <c r="I543" s="42">
        <f>0.03*C543/100</f>
        <v>6.0000000000000001E-3</v>
      </c>
      <c r="J543" s="42">
        <v>0</v>
      </c>
      <c r="K543" s="42">
        <f>1.7*C543/100</f>
        <v>0.34</v>
      </c>
      <c r="L543" s="48">
        <f>25.4*C543/100</f>
        <v>5.08</v>
      </c>
      <c r="M543" s="48">
        <f>105.53*C543/100</f>
        <v>21.105999999999998</v>
      </c>
      <c r="N543" s="48">
        <f>36.5*C543/100</f>
        <v>7.3</v>
      </c>
      <c r="O543" s="42">
        <f>2.45*C543/100</f>
        <v>0.49</v>
      </c>
      <c r="P543" s="56">
        <f>0.2*C543/100</f>
        <v>0.04</v>
      </c>
      <c r="Q543" s="56">
        <f>10*C543/100</f>
        <v>2</v>
      </c>
      <c r="R543" s="233">
        <v>200103</v>
      </c>
      <c r="S543" s="233"/>
    </row>
    <row r="544" spans="1:19" s="37" customFormat="1" x14ac:dyDescent="0.2">
      <c r="A544" s="49"/>
      <c r="B544" s="132" t="s">
        <v>4</v>
      </c>
      <c r="C544" s="120"/>
      <c r="D544" s="168">
        <f t="shared" ref="D544:Q544" si="94">SUM(D538:D543)</f>
        <v>27.512</v>
      </c>
      <c r="E544" s="168">
        <f t="shared" si="94"/>
        <v>17.981999999999999</v>
      </c>
      <c r="F544" s="168">
        <f t="shared" si="94"/>
        <v>119.70399999999999</v>
      </c>
      <c r="G544" s="168">
        <f t="shared" si="94"/>
        <v>729.61599999999999</v>
      </c>
      <c r="H544" s="168">
        <f t="shared" si="94"/>
        <v>0.7268</v>
      </c>
      <c r="I544" s="168">
        <f t="shared" si="94"/>
        <v>35.512</v>
      </c>
      <c r="J544" s="168">
        <f t="shared" si="94"/>
        <v>3.2570000000000001</v>
      </c>
      <c r="K544" s="168">
        <f t="shared" si="94"/>
        <v>2.7789999999999995</v>
      </c>
      <c r="L544" s="167">
        <f t="shared" si="94"/>
        <v>215.50400000000002</v>
      </c>
      <c r="M544" s="167">
        <f t="shared" si="94"/>
        <v>697.0569999999999</v>
      </c>
      <c r="N544" s="167">
        <f t="shared" si="94"/>
        <v>184.02</v>
      </c>
      <c r="O544" s="168">
        <f t="shared" si="94"/>
        <v>9.8130000000000006</v>
      </c>
      <c r="P544" s="125">
        <f t="shared" si="94"/>
        <v>0.57700000000000007</v>
      </c>
      <c r="Q544" s="125">
        <f t="shared" si="94"/>
        <v>48.67</v>
      </c>
      <c r="R544" s="233"/>
      <c r="S544" s="233"/>
    </row>
    <row r="545" spans="1:19" s="37" customFormat="1" ht="18" x14ac:dyDescent="0.2">
      <c r="A545" s="300" t="s">
        <v>35</v>
      </c>
      <c r="B545" s="302"/>
      <c r="C545" s="302"/>
      <c r="D545" s="302"/>
      <c r="E545" s="302"/>
      <c r="F545" s="302"/>
      <c r="G545" s="302"/>
      <c r="H545" s="302"/>
      <c r="I545" s="302"/>
      <c r="J545" s="302"/>
      <c r="K545" s="302"/>
      <c r="L545" s="302"/>
      <c r="M545" s="302"/>
      <c r="N545" s="302"/>
      <c r="O545" s="302"/>
      <c r="P545" s="302"/>
      <c r="Q545" s="302"/>
      <c r="R545" s="302"/>
      <c r="S545" s="303"/>
    </row>
    <row r="546" spans="1:19" s="63" customFormat="1" ht="37.5" x14ac:dyDescent="0.2">
      <c r="A546" s="230">
        <v>1</v>
      </c>
      <c r="B546" s="47" t="s">
        <v>251</v>
      </c>
      <c r="C546" s="41">
        <v>50</v>
      </c>
      <c r="D546" s="42">
        <f>9.9*C546/100</f>
        <v>4.95</v>
      </c>
      <c r="E546" s="42">
        <f>5.3*C546/100</f>
        <v>2.65</v>
      </c>
      <c r="F546" s="42">
        <f>55*C546/100</f>
        <v>27.5</v>
      </c>
      <c r="G546" s="43">
        <f>308*C546/100</f>
        <v>154</v>
      </c>
      <c r="H546" s="44">
        <f>0.34*C546/100</f>
        <v>0.17</v>
      </c>
      <c r="I546" s="42">
        <f>0*C546/100</f>
        <v>0</v>
      </c>
      <c r="J546" s="42">
        <v>0</v>
      </c>
      <c r="K546" s="42">
        <f>1.5*C546/100</f>
        <v>0.75</v>
      </c>
      <c r="L546" s="48">
        <f>148.1*C546/100</f>
        <v>74.05</v>
      </c>
      <c r="M546" s="48">
        <f>0*C546/100</f>
        <v>0</v>
      </c>
      <c r="N546" s="48">
        <f>16*C546/100</f>
        <v>8</v>
      </c>
      <c r="O546" s="42">
        <f>2.4*C546/100</f>
        <v>1.2</v>
      </c>
      <c r="P546" s="56">
        <f>0.2*C546/100</f>
        <v>0.1</v>
      </c>
      <c r="Q546" s="56">
        <v>0</v>
      </c>
      <c r="R546" s="231" t="s">
        <v>252</v>
      </c>
      <c r="S546" s="242">
        <v>190215</v>
      </c>
    </row>
    <row r="547" spans="1:19" s="63" customFormat="1" x14ac:dyDescent="0.2">
      <c r="A547" s="49">
        <v>2</v>
      </c>
      <c r="B547" s="47" t="s">
        <v>165</v>
      </c>
      <c r="C547" s="59">
        <v>200</v>
      </c>
      <c r="D547" s="166">
        <f>1.92*C547/100</f>
        <v>3.84</v>
      </c>
      <c r="E547" s="166">
        <f>1.68*C547/100</f>
        <v>3.36</v>
      </c>
      <c r="F547" s="166">
        <f>10.71*C547/100</f>
        <v>21.42</v>
      </c>
      <c r="G547" s="42">
        <f>65.1*C547/100</f>
        <v>130.19999999999999</v>
      </c>
      <c r="H547" s="49">
        <f>0.2*C547/100</f>
        <v>0.4</v>
      </c>
      <c r="I547" s="49">
        <f>15.67*C547/100</f>
        <v>31.34</v>
      </c>
      <c r="J547" s="49">
        <f>0.01*C547/100</f>
        <v>0.02</v>
      </c>
      <c r="K547" s="49">
        <f>C547*0/100</f>
        <v>0</v>
      </c>
      <c r="L547" s="48">
        <f>62.77*C547/100</f>
        <v>125.54</v>
      </c>
      <c r="M547" s="48">
        <f>45*C547/100</f>
        <v>90</v>
      </c>
      <c r="N547" s="48">
        <f>7.57*C547/100</f>
        <v>15.14</v>
      </c>
      <c r="O547" s="49">
        <f>0.07*C547/100</f>
        <v>0.14000000000000001</v>
      </c>
      <c r="P547" s="49">
        <f>0.2*C547/100</f>
        <v>0.4</v>
      </c>
      <c r="Q547" s="49">
        <v>0</v>
      </c>
      <c r="R547" s="233">
        <v>160103</v>
      </c>
      <c r="S547" s="233"/>
    </row>
    <row r="548" spans="1:19" s="37" customFormat="1" x14ac:dyDescent="0.2">
      <c r="A548" s="49"/>
      <c r="B548" s="132" t="s">
        <v>4</v>
      </c>
      <c r="C548" s="120"/>
      <c r="D548" s="169">
        <f t="shared" ref="D548:Q548" si="95">SUM(D546:D547)</f>
        <v>8.7899999999999991</v>
      </c>
      <c r="E548" s="169">
        <f t="shared" si="95"/>
        <v>6.01</v>
      </c>
      <c r="F548" s="169">
        <f t="shared" si="95"/>
        <v>48.92</v>
      </c>
      <c r="G548" s="169">
        <f t="shared" si="95"/>
        <v>284.2</v>
      </c>
      <c r="H548" s="169">
        <f t="shared" si="95"/>
        <v>0.57000000000000006</v>
      </c>
      <c r="I548" s="169">
        <f t="shared" si="95"/>
        <v>31.34</v>
      </c>
      <c r="J548" s="169">
        <f t="shared" si="95"/>
        <v>0.02</v>
      </c>
      <c r="K548" s="169">
        <f t="shared" si="95"/>
        <v>0.75</v>
      </c>
      <c r="L548" s="152">
        <f t="shared" si="95"/>
        <v>199.59</v>
      </c>
      <c r="M548" s="152">
        <f t="shared" si="95"/>
        <v>90</v>
      </c>
      <c r="N548" s="152">
        <f t="shared" si="95"/>
        <v>23.14</v>
      </c>
      <c r="O548" s="169">
        <f t="shared" si="95"/>
        <v>1.3399999999999999</v>
      </c>
      <c r="P548" s="125">
        <f t="shared" si="95"/>
        <v>0.5</v>
      </c>
      <c r="Q548" s="125">
        <f t="shared" si="95"/>
        <v>0</v>
      </c>
      <c r="R548" s="233"/>
      <c r="S548" s="233"/>
    </row>
    <row r="549" spans="1:19" s="37" customFormat="1" x14ac:dyDescent="0.2">
      <c r="A549" s="49"/>
      <c r="B549" s="132" t="s">
        <v>7</v>
      </c>
      <c r="C549" s="120"/>
      <c r="D549" s="168">
        <f t="shared" ref="D549:Q549" si="96">D536+D544+D548</f>
        <v>64.614000000000004</v>
      </c>
      <c r="E549" s="168">
        <f t="shared" si="96"/>
        <v>40.761999999999993</v>
      </c>
      <c r="F549" s="168">
        <f t="shared" si="96"/>
        <v>243.964</v>
      </c>
      <c r="G549" s="168">
        <f t="shared" si="96"/>
        <v>1590.4460000000001</v>
      </c>
      <c r="H549" s="168">
        <f t="shared" si="96"/>
        <v>1.5258</v>
      </c>
      <c r="I549" s="168">
        <f t="shared" si="96"/>
        <v>169.46700000000001</v>
      </c>
      <c r="J549" s="168">
        <f t="shared" si="96"/>
        <v>3.4040000000000004</v>
      </c>
      <c r="K549" s="168">
        <f t="shared" si="96"/>
        <v>4.8539999999999992</v>
      </c>
      <c r="L549" s="167">
        <f t="shared" si="96"/>
        <v>794.85400000000004</v>
      </c>
      <c r="M549" s="167">
        <f t="shared" si="96"/>
        <v>1169.7269999999999</v>
      </c>
      <c r="N549" s="167">
        <f t="shared" si="96"/>
        <v>275.85500000000002</v>
      </c>
      <c r="O549" s="168">
        <f t="shared" si="96"/>
        <v>12.673</v>
      </c>
      <c r="P549" s="168">
        <f t="shared" si="96"/>
        <v>1.6220000000000001</v>
      </c>
      <c r="Q549" s="168">
        <f t="shared" si="96"/>
        <v>76.650000000000006</v>
      </c>
      <c r="R549" s="233"/>
      <c r="S549" s="233"/>
    </row>
    <row r="550" spans="1:19" s="37" customFormat="1" x14ac:dyDescent="0.2">
      <c r="A550" s="275" t="s">
        <v>63</v>
      </c>
      <c r="B550" s="276"/>
      <c r="C550" s="276"/>
      <c r="D550" s="276"/>
      <c r="E550" s="276"/>
      <c r="F550" s="276"/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278"/>
    </row>
    <row r="551" spans="1:19" s="37" customFormat="1" ht="18" x14ac:dyDescent="0.2">
      <c r="A551" s="300" t="s">
        <v>3</v>
      </c>
      <c r="B551" s="302"/>
      <c r="C551" s="302"/>
      <c r="D551" s="302"/>
      <c r="E551" s="302"/>
      <c r="F551" s="302"/>
      <c r="G551" s="302"/>
      <c r="H551" s="302"/>
      <c r="I551" s="302"/>
      <c r="J551" s="302"/>
      <c r="K551" s="302"/>
      <c r="L551" s="302"/>
      <c r="M551" s="302"/>
      <c r="N551" s="302"/>
      <c r="O551" s="302"/>
      <c r="P551" s="302"/>
      <c r="Q551" s="302"/>
      <c r="R551" s="302"/>
      <c r="S551" s="303"/>
    </row>
    <row r="552" spans="1:19" s="63" customFormat="1" ht="37.5" x14ac:dyDescent="0.2">
      <c r="A552" s="49">
        <v>1</v>
      </c>
      <c r="B552" s="47" t="s">
        <v>255</v>
      </c>
      <c r="C552" s="41">
        <v>200</v>
      </c>
      <c r="D552" s="42">
        <f>3.64*C552/100</f>
        <v>7.28</v>
      </c>
      <c r="E552" s="42">
        <f>3.38*C552/100</f>
        <v>6.76</v>
      </c>
      <c r="F552" s="42">
        <f>18.46*C552/100</f>
        <v>36.92</v>
      </c>
      <c r="G552" s="42">
        <f>112.8*C552/100</f>
        <v>225.6</v>
      </c>
      <c r="H552" s="42">
        <f>0.4*C552/100</f>
        <v>0.8</v>
      </c>
      <c r="I552" s="42">
        <f>8*C552/100</f>
        <v>16</v>
      </c>
      <c r="J552" s="42">
        <f>0*C552/100</f>
        <v>0</v>
      </c>
      <c r="K552" s="42">
        <f>2*C552/100</f>
        <v>4</v>
      </c>
      <c r="L552" s="48">
        <f>20*C552/100</f>
        <v>40</v>
      </c>
      <c r="M552" s="48">
        <f>32*C552/100</f>
        <v>64</v>
      </c>
      <c r="N552" s="48">
        <f>0*C552/100</f>
        <v>0</v>
      </c>
      <c r="O552" s="42">
        <f>2.24*C552/100</f>
        <v>4.4800000000000004</v>
      </c>
      <c r="P552" s="49">
        <f>0.3*C552/100</f>
        <v>0.6</v>
      </c>
      <c r="Q552" s="49">
        <f>4.5*C552/100</f>
        <v>9</v>
      </c>
      <c r="R552" s="233">
        <v>120215</v>
      </c>
      <c r="S552" s="233"/>
    </row>
    <row r="553" spans="1:19" s="63" customFormat="1" x14ac:dyDescent="0.2">
      <c r="A553" s="49">
        <v>2</v>
      </c>
      <c r="B553" s="47" t="s">
        <v>31</v>
      </c>
      <c r="C553" s="59">
        <v>200</v>
      </c>
      <c r="D553" s="60">
        <v>0</v>
      </c>
      <c r="E553" s="60">
        <v>0</v>
      </c>
      <c r="F553" s="60">
        <f>4.99*C553/100</f>
        <v>9.98</v>
      </c>
      <c r="G553" s="42">
        <f>19.95*C553/100</f>
        <v>39.9</v>
      </c>
      <c r="H553" s="42">
        <v>0</v>
      </c>
      <c r="I553" s="42">
        <v>0</v>
      </c>
      <c r="J553" s="42">
        <v>0</v>
      </c>
      <c r="K553" s="42">
        <v>0</v>
      </c>
      <c r="L553" s="48">
        <f>8.15*C553/100</f>
        <v>16.3</v>
      </c>
      <c r="M553" s="48">
        <f>0.02*C553/100</f>
        <v>0.04</v>
      </c>
      <c r="N553" s="48">
        <f>1.79*C553/100</f>
        <v>3.58</v>
      </c>
      <c r="O553" s="42">
        <f>0.02*C553/100</f>
        <v>0.04</v>
      </c>
      <c r="P553" s="49">
        <f>0.01*C553/100</f>
        <v>0.02</v>
      </c>
      <c r="Q553" s="49">
        <v>0.48</v>
      </c>
      <c r="R553" s="233">
        <v>160105</v>
      </c>
      <c r="S553" s="233"/>
    </row>
    <row r="554" spans="1:19" s="63" customFormat="1" x14ac:dyDescent="0.2">
      <c r="A554" s="49">
        <v>3</v>
      </c>
      <c r="B554" s="47" t="s">
        <v>160</v>
      </c>
      <c r="C554" s="41">
        <v>20</v>
      </c>
      <c r="D554" s="42">
        <f>7.76*C554/100</f>
        <v>1.5519999999999998</v>
      </c>
      <c r="E554" s="42">
        <f>2.65*C554/100</f>
        <v>0.53</v>
      </c>
      <c r="F554" s="42">
        <f>53.25*C554/100</f>
        <v>10.65</v>
      </c>
      <c r="G554" s="42">
        <f>273*C554/100</f>
        <v>54.6</v>
      </c>
      <c r="H554" s="42">
        <f>0.34*C554/100</f>
        <v>6.8000000000000005E-2</v>
      </c>
      <c r="I554" s="42">
        <f>0*C554/100</f>
        <v>0</v>
      </c>
      <c r="J554" s="42">
        <v>0</v>
      </c>
      <c r="K554" s="42">
        <f>1.5*C554/100</f>
        <v>0.3</v>
      </c>
      <c r="L554" s="48">
        <f>148.1*C554/100</f>
        <v>29.62</v>
      </c>
      <c r="M554" s="48">
        <f>0*C554/100</f>
        <v>0</v>
      </c>
      <c r="N554" s="48">
        <f>16*C554/100</f>
        <v>3.2</v>
      </c>
      <c r="O554" s="42">
        <f>2.4*C554/100</f>
        <v>0.48</v>
      </c>
      <c r="P554" s="56">
        <f>0.2*C554/100</f>
        <v>0.04</v>
      </c>
      <c r="Q554" s="56">
        <f>1.5*C554/100</f>
        <v>0.3</v>
      </c>
      <c r="R554" s="233">
        <v>200102</v>
      </c>
      <c r="S554" s="233"/>
    </row>
    <row r="555" spans="1:19" s="37" customFormat="1" x14ac:dyDescent="0.2">
      <c r="A555" s="49">
        <v>4</v>
      </c>
      <c r="B555" s="47" t="s">
        <v>273</v>
      </c>
      <c r="C555" s="41">
        <v>150</v>
      </c>
      <c r="D555" s="42">
        <f>1.2*C555/100</f>
        <v>1.8</v>
      </c>
      <c r="E555" s="42">
        <f>7.6*C555/100</f>
        <v>11.4</v>
      </c>
      <c r="F555" s="42">
        <f>28.8*C555/100</f>
        <v>43.2</v>
      </c>
      <c r="G555" s="42">
        <f>188.4*C555/100</f>
        <v>282.60000000000002</v>
      </c>
      <c r="H555" s="42">
        <v>0</v>
      </c>
      <c r="I555" s="42">
        <f>0.8*C555/100</f>
        <v>1.2</v>
      </c>
      <c r="J555" s="42">
        <v>0</v>
      </c>
      <c r="K555" s="42">
        <v>0</v>
      </c>
      <c r="L555" s="48">
        <f>28.96*C555/100</f>
        <v>43.44</v>
      </c>
      <c r="M555" s="48">
        <f>9.26*C555/100</f>
        <v>13.89</v>
      </c>
      <c r="N555" s="48">
        <f>3.51*C555/100</f>
        <v>5.2649999999999997</v>
      </c>
      <c r="O555" s="42">
        <f>0.1*C555/100</f>
        <v>0.15</v>
      </c>
      <c r="P555" s="56">
        <v>0</v>
      </c>
      <c r="Q555" s="56">
        <v>0</v>
      </c>
      <c r="R555" s="233"/>
      <c r="S555" s="233">
        <v>220110</v>
      </c>
    </row>
    <row r="556" spans="1:19" s="38" customFormat="1" x14ac:dyDescent="0.2">
      <c r="A556" s="189"/>
      <c r="B556" s="190" t="s">
        <v>4</v>
      </c>
      <c r="C556" s="191"/>
      <c r="D556" s="157">
        <f t="shared" ref="D556:Q556" si="97">SUM(D552:D555)</f>
        <v>10.632000000000001</v>
      </c>
      <c r="E556" s="157">
        <f t="shared" si="97"/>
        <v>18.690000000000001</v>
      </c>
      <c r="F556" s="157">
        <f t="shared" si="97"/>
        <v>100.75</v>
      </c>
      <c r="G556" s="157">
        <f t="shared" si="97"/>
        <v>602.70000000000005</v>
      </c>
      <c r="H556" s="157">
        <f t="shared" si="97"/>
        <v>0.8680000000000001</v>
      </c>
      <c r="I556" s="157">
        <f t="shared" si="97"/>
        <v>17.2</v>
      </c>
      <c r="J556" s="157">
        <f t="shared" si="97"/>
        <v>0</v>
      </c>
      <c r="K556" s="157">
        <f t="shared" si="97"/>
        <v>4.3</v>
      </c>
      <c r="L556" s="158">
        <f t="shared" si="97"/>
        <v>129.36000000000001</v>
      </c>
      <c r="M556" s="158">
        <f t="shared" si="97"/>
        <v>77.930000000000007</v>
      </c>
      <c r="N556" s="158">
        <f t="shared" si="97"/>
        <v>12.045</v>
      </c>
      <c r="O556" s="157">
        <f t="shared" si="97"/>
        <v>5.15</v>
      </c>
      <c r="P556" s="187">
        <f t="shared" si="97"/>
        <v>0.66</v>
      </c>
      <c r="Q556" s="188">
        <f t="shared" si="97"/>
        <v>9.7800000000000011</v>
      </c>
      <c r="R556" s="233"/>
      <c r="S556" s="233"/>
    </row>
    <row r="557" spans="1:19" s="37" customFormat="1" ht="18" x14ac:dyDescent="0.2">
      <c r="A557" s="300" t="s">
        <v>5</v>
      </c>
      <c r="B557" s="302"/>
      <c r="C557" s="302"/>
      <c r="D557" s="302"/>
      <c r="E557" s="302"/>
      <c r="F557" s="302"/>
      <c r="G557" s="302"/>
      <c r="H557" s="302"/>
      <c r="I557" s="302"/>
      <c r="J557" s="302"/>
      <c r="K557" s="302"/>
      <c r="L557" s="302"/>
      <c r="M557" s="302"/>
      <c r="N557" s="302"/>
      <c r="O557" s="302"/>
      <c r="P557" s="302"/>
      <c r="Q557" s="302"/>
      <c r="R557" s="302"/>
      <c r="S557" s="303"/>
    </row>
    <row r="558" spans="1:19" s="63" customFormat="1" x14ac:dyDescent="0.2">
      <c r="A558" s="49">
        <v>1</v>
      </c>
      <c r="B558" s="47" t="s">
        <v>133</v>
      </c>
      <c r="C558" s="182">
        <v>60</v>
      </c>
      <c r="D558" s="42">
        <f>0.74*C558/100</f>
        <v>0.44400000000000001</v>
      </c>
      <c r="E558" s="42">
        <f>12.08*C558/100</f>
        <v>7.2479999999999993</v>
      </c>
      <c r="F558" s="42">
        <f>2.36*C558/100</f>
        <v>1.4159999999999999</v>
      </c>
      <c r="G558" s="42">
        <f>120.69*C558/100</f>
        <v>72.414000000000001</v>
      </c>
      <c r="H558" s="94">
        <f>0.03*C558/100</f>
        <v>1.7999999999999999E-2</v>
      </c>
      <c r="I558" s="94">
        <f>10.3*C558/100</f>
        <v>6.18</v>
      </c>
      <c r="J558" s="94">
        <v>0</v>
      </c>
      <c r="K558" s="94">
        <f>2.16*C558/100</f>
        <v>1.2960000000000003</v>
      </c>
      <c r="L558" s="124">
        <f>22.69*C558/100</f>
        <v>13.614000000000001</v>
      </c>
      <c r="M558" s="124">
        <f>38.15*C558/100</f>
        <v>22.89</v>
      </c>
      <c r="N558" s="124">
        <f>13.17*C558/100</f>
        <v>7.9020000000000001</v>
      </c>
      <c r="O558" s="94">
        <f>0.55*C558/100</f>
        <v>0.33</v>
      </c>
      <c r="P558" s="49">
        <v>0.04</v>
      </c>
      <c r="Q558" s="49">
        <v>1.1299999999999999</v>
      </c>
      <c r="R558" s="233">
        <v>100507</v>
      </c>
      <c r="S558" s="233"/>
    </row>
    <row r="559" spans="1:19" s="63" customFormat="1" x14ac:dyDescent="0.2">
      <c r="A559" s="49">
        <v>2</v>
      </c>
      <c r="B559" s="47" t="s">
        <v>199</v>
      </c>
      <c r="C559" s="41">
        <v>250</v>
      </c>
      <c r="D559" s="42">
        <f>0.7*C559/100</f>
        <v>1.75</v>
      </c>
      <c r="E559" s="42">
        <f>1.8*C559/100</f>
        <v>4.5</v>
      </c>
      <c r="F559" s="42">
        <f>3.7*C559/100</f>
        <v>9.25</v>
      </c>
      <c r="G559" s="42">
        <f>33.8*C559/100</f>
        <v>84.5</v>
      </c>
      <c r="H559" s="42">
        <f>0.04*C559/100</f>
        <v>0.1</v>
      </c>
      <c r="I559" s="42">
        <f>4.24*C559/100</f>
        <v>10.6</v>
      </c>
      <c r="J559" s="42">
        <f>0.01*C559/100</f>
        <v>2.5000000000000001E-2</v>
      </c>
      <c r="K559" s="42">
        <f>0.11*C559/100</f>
        <v>0.27500000000000002</v>
      </c>
      <c r="L559" s="48">
        <f>19.09*C559/100</f>
        <v>47.725000000000001</v>
      </c>
      <c r="M559" s="48">
        <f>56.93*C559/100</f>
        <v>142.32499999999999</v>
      </c>
      <c r="N559" s="48">
        <f>14.08*C559/100</f>
        <v>35.200000000000003</v>
      </c>
      <c r="O559" s="42">
        <f>2.06*C559/100</f>
        <v>5.15</v>
      </c>
      <c r="P559" s="49">
        <f>0.07*C559/100</f>
        <v>0.17499999999999999</v>
      </c>
      <c r="Q559" s="49">
        <v>3.63</v>
      </c>
      <c r="R559" s="233">
        <v>110309</v>
      </c>
      <c r="S559" s="233">
        <v>110310</v>
      </c>
    </row>
    <row r="560" spans="1:19" s="63" customFormat="1" x14ac:dyDescent="0.2">
      <c r="A560" s="49">
        <v>3</v>
      </c>
      <c r="B560" s="47" t="s">
        <v>124</v>
      </c>
      <c r="C560" s="41">
        <v>10</v>
      </c>
      <c r="D560" s="42">
        <f>11.1*C560/100</f>
        <v>1.1100000000000001</v>
      </c>
      <c r="E560" s="42">
        <f>3.79*C560/100</f>
        <v>0.379</v>
      </c>
      <c r="F560" s="42">
        <f>76.15*C560/100</f>
        <v>7.6150000000000002</v>
      </c>
      <c r="G560" s="42">
        <f>390.39*C560/100</f>
        <v>39.038999999999994</v>
      </c>
      <c r="H560" s="42">
        <f>0.61*C560/100</f>
        <v>6.0999999999999999E-2</v>
      </c>
      <c r="I560" s="42">
        <f>0*C560/100</f>
        <v>0</v>
      </c>
      <c r="J560" s="42">
        <f>0*C560/100</f>
        <v>0</v>
      </c>
      <c r="K560" s="42">
        <f>0*C560/100</f>
        <v>0</v>
      </c>
      <c r="L560" s="48">
        <f>211.78*C560/100</f>
        <v>21.178000000000001</v>
      </c>
      <c r="M560" s="48">
        <f>0.25*C560/100</f>
        <v>2.5000000000000001E-2</v>
      </c>
      <c r="N560" s="48">
        <f>22.8*C560/100</f>
        <v>2.2799999999999998</v>
      </c>
      <c r="O560" s="42">
        <f>0.002*C560/100</f>
        <v>2.0000000000000001E-4</v>
      </c>
      <c r="P560" s="49">
        <f>0.44*C560/100</f>
        <v>4.4000000000000004E-2</v>
      </c>
      <c r="Q560" s="49">
        <v>0</v>
      </c>
      <c r="R560" s="233">
        <v>180601</v>
      </c>
      <c r="S560" s="233"/>
    </row>
    <row r="561" spans="1:19" s="63" customFormat="1" x14ac:dyDescent="0.2">
      <c r="A561" s="49">
        <v>4</v>
      </c>
      <c r="B561" s="47" t="s">
        <v>241</v>
      </c>
      <c r="C561" s="41">
        <v>200</v>
      </c>
      <c r="D561" s="42">
        <f>3.5*C561/100</f>
        <v>7</v>
      </c>
      <c r="E561" s="42">
        <f>7.5*C561/100</f>
        <v>15</v>
      </c>
      <c r="F561" s="42">
        <f>8.5*C561/100</f>
        <v>17</v>
      </c>
      <c r="G561" s="42">
        <f>115.5*C561/100</f>
        <v>231</v>
      </c>
      <c r="H561" s="42">
        <f>0.05*C561/100</f>
        <v>0.1</v>
      </c>
      <c r="I561" s="42">
        <f>2.59*C561/100</f>
        <v>5.18</v>
      </c>
      <c r="J561" s="42">
        <f>1.44*C561/100</f>
        <v>2.88</v>
      </c>
      <c r="K561" s="42">
        <f>1.27*C561/100</f>
        <v>2.54</v>
      </c>
      <c r="L561" s="48">
        <f>14.01*C561/100</f>
        <v>28.02</v>
      </c>
      <c r="M561" s="48">
        <f>129.66*C561/100</f>
        <v>259.32</v>
      </c>
      <c r="N561" s="48">
        <f>20.62*C561/100</f>
        <v>41.24</v>
      </c>
      <c r="O561" s="42">
        <f>1.75*C561/100</f>
        <v>3.5</v>
      </c>
      <c r="P561" s="49">
        <v>0.1</v>
      </c>
      <c r="Q561" s="49">
        <v>3.83</v>
      </c>
      <c r="R561" s="233">
        <v>120517</v>
      </c>
      <c r="S561" s="233">
        <v>120518</v>
      </c>
    </row>
    <row r="562" spans="1:19" s="66" customFormat="1" x14ac:dyDescent="0.2">
      <c r="A562" s="49">
        <v>5</v>
      </c>
      <c r="B562" s="47" t="s">
        <v>231</v>
      </c>
      <c r="C562" s="41">
        <v>200</v>
      </c>
      <c r="D562" s="60">
        <f>0.7*C562/100</f>
        <v>1.4</v>
      </c>
      <c r="E562" s="60">
        <v>0</v>
      </c>
      <c r="F562" s="60">
        <f>12*C562/100</f>
        <v>24</v>
      </c>
      <c r="G562" s="60">
        <f>48*C562/100</f>
        <v>96</v>
      </c>
      <c r="H562" s="42">
        <f>0.105*C562/100</f>
        <v>0.21</v>
      </c>
      <c r="I562" s="42">
        <f>2*C562/100</f>
        <v>4</v>
      </c>
      <c r="J562" s="42">
        <f>0.03*C562/100</f>
        <v>0.06</v>
      </c>
      <c r="K562" s="42">
        <f>0.35*C562/100</f>
        <v>0.7</v>
      </c>
      <c r="L562" s="48">
        <f>10.5*C562/100</f>
        <v>21</v>
      </c>
      <c r="M562" s="48">
        <f>8*C562/100</f>
        <v>16</v>
      </c>
      <c r="N562" s="48">
        <f>11.5*C562/100</f>
        <v>23</v>
      </c>
      <c r="O562" s="49">
        <f>0.35*C562/100</f>
        <v>0.7</v>
      </c>
      <c r="P562" s="49">
        <v>0</v>
      </c>
      <c r="Q562" s="49">
        <v>0.4</v>
      </c>
      <c r="R562" s="233"/>
      <c r="S562" s="233"/>
    </row>
    <row r="563" spans="1:19" s="63" customFormat="1" x14ac:dyDescent="0.2">
      <c r="A563" s="49">
        <v>6</v>
      </c>
      <c r="B563" s="47" t="s">
        <v>160</v>
      </c>
      <c r="C563" s="41">
        <v>40</v>
      </c>
      <c r="D563" s="42">
        <f>7.76*C563/100</f>
        <v>3.1039999999999996</v>
      </c>
      <c r="E563" s="42">
        <f>2.65*C563/100</f>
        <v>1.06</v>
      </c>
      <c r="F563" s="42">
        <f>53.25*C563/100</f>
        <v>21.3</v>
      </c>
      <c r="G563" s="42">
        <f>273*C563/100</f>
        <v>109.2</v>
      </c>
      <c r="H563" s="42">
        <f>0.34*C563/100</f>
        <v>0.13600000000000001</v>
      </c>
      <c r="I563" s="42">
        <f>0*C563/100</f>
        <v>0</v>
      </c>
      <c r="J563" s="42">
        <v>0</v>
      </c>
      <c r="K563" s="42">
        <f>1.5*C563/100</f>
        <v>0.6</v>
      </c>
      <c r="L563" s="48">
        <f>148.1*C563/100</f>
        <v>59.24</v>
      </c>
      <c r="M563" s="48">
        <f>0*C563/100</f>
        <v>0</v>
      </c>
      <c r="N563" s="48">
        <f>16*C563/100</f>
        <v>6.4</v>
      </c>
      <c r="O563" s="42">
        <f>2.4*C563/100</f>
        <v>0.96</v>
      </c>
      <c r="P563" s="56">
        <f>0.2*C563/100</f>
        <v>0.08</v>
      </c>
      <c r="Q563" s="56">
        <f>1.5*C563/100</f>
        <v>0.6</v>
      </c>
      <c r="R563" s="233">
        <v>200102</v>
      </c>
      <c r="S563" s="233"/>
    </row>
    <row r="564" spans="1:19" s="63" customFormat="1" x14ac:dyDescent="0.2">
      <c r="A564" s="49">
        <v>7</v>
      </c>
      <c r="B564" s="47" t="s">
        <v>159</v>
      </c>
      <c r="C564" s="41">
        <v>20</v>
      </c>
      <c r="D564" s="42">
        <f>5.86*C564/100</f>
        <v>1.1719999999999999</v>
      </c>
      <c r="E564" s="42">
        <f>0.94*C564/100</f>
        <v>0.18799999999999997</v>
      </c>
      <c r="F564" s="42">
        <f>44.4*C564/100</f>
        <v>8.8800000000000008</v>
      </c>
      <c r="G564" s="42">
        <f>189*C564/100</f>
        <v>37.799999999999997</v>
      </c>
      <c r="H564" s="42">
        <f>0.4*C564/100</f>
        <v>0.08</v>
      </c>
      <c r="I564" s="42">
        <f>0.03*C564/100</f>
        <v>6.0000000000000001E-3</v>
      </c>
      <c r="J564" s="42">
        <v>0</v>
      </c>
      <c r="K564" s="42">
        <f>1.7*C564/100</f>
        <v>0.34</v>
      </c>
      <c r="L564" s="48">
        <f>25.4*C564/100</f>
        <v>5.08</v>
      </c>
      <c r="M564" s="48">
        <f>105.53*C564/100</f>
        <v>21.105999999999998</v>
      </c>
      <c r="N564" s="48">
        <f>36.5*C564/100</f>
        <v>7.3</v>
      </c>
      <c r="O564" s="42">
        <f>2.45*C564/100</f>
        <v>0.49</v>
      </c>
      <c r="P564" s="56">
        <f>0.2*C564/100</f>
        <v>0.04</v>
      </c>
      <c r="Q564" s="56">
        <f>10*C564/100</f>
        <v>2</v>
      </c>
      <c r="R564" s="233">
        <v>200103</v>
      </c>
      <c r="S564" s="233"/>
    </row>
    <row r="565" spans="1:19" s="63" customFormat="1" x14ac:dyDescent="0.2">
      <c r="A565" s="49">
        <v>8</v>
      </c>
      <c r="B565" s="47" t="s">
        <v>219</v>
      </c>
      <c r="C565" s="41">
        <v>20</v>
      </c>
      <c r="D565" s="42">
        <f>3.3*C565/100</f>
        <v>0.66</v>
      </c>
      <c r="E565" s="42">
        <f>7.5*C565/100</f>
        <v>1.5</v>
      </c>
      <c r="F565" s="42">
        <f>81.8*C565/100</f>
        <v>16.36</v>
      </c>
      <c r="G565" s="42">
        <f>407.9*C565/100</f>
        <v>81.58</v>
      </c>
      <c r="H565" s="42">
        <f>0.02*C565/100</f>
        <v>4.0000000000000001E-3</v>
      </c>
      <c r="I565" s="42">
        <v>0</v>
      </c>
      <c r="J565" s="42">
        <f>0.01*C565/100</f>
        <v>2E-3</v>
      </c>
      <c r="K565" s="42">
        <v>0</v>
      </c>
      <c r="L565" s="48">
        <f>148*C565/100</f>
        <v>29.6</v>
      </c>
      <c r="M565" s="48">
        <f>151*C565/100</f>
        <v>30.2</v>
      </c>
      <c r="N565" s="48">
        <f>20*C565/100</f>
        <v>4</v>
      </c>
      <c r="O565" s="42">
        <f>0.4*C565/100</f>
        <v>0.08</v>
      </c>
      <c r="P565" s="56">
        <f>0.2*C565/100</f>
        <v>0.04</v>
      </c>
      <c r="Q565" s="56">
        <v>0</v>
      </c>
      <c r="R565" s="233"/>
      <c r="S565" s="233"/>
    </row>
    <row r="566" spans="1:19" s="37" customFormat="1" x14ac:dyDescent="0.2">
      <c r="A566" s="49"/>
      <c r="B566" s="132" t="s">
        <v>4</v>
      </c>
      <c r="C566" s="120"/>
      <c r="D566" s="168">
        <f t="shared" ref="D566:Q566" si="98">SUM(D558:D565)</f>
        <v>16.64</v>
      </c>
      <c r="E566" s="168">
        <f t="shared" si="98"/>
        <v>29.874999999999996</v>
      </c>
      <c r="F566" s="168">
        <f t="shared" si="98"/>
        <v>105.821</v>
      </c>
      <c r="G566" s="168">
        <f t="shared" si="98"/>
        <v>751.53300000000002</v>
      </c>
      <c r="H566" s="168">
        <f t="shared" si="98"/>
        <v>0.70899999999999996</v>
      </c>
      <c r="I566" s="168">
        <f t="shared" si="98"/>
        <v>25.966000000000001</v>
      </c>
      <c r="J566" s="168">
        <f t="shared" si="98"/>
        <v>2.9669999999999996</v>
      </c>
      <c r="K566" s="168">
        <f t="shared" si="98"/>
        <v>5.7510000000000003</v>
      </c>
      <c r="L566" s="167">
        <f t="shared" si="98"/>
        <v>225.45699999999999</v>
      </c>
      <c r="M566" s="167">
        <f t="shared" si="98"/>
        <v>491.86599999999993</v>
      </c>
      <c r="N566" s="167">
        <f t="shared" si="98"/>
        <v>127.32200000000002</v>
      </c>
      <c r="O566" s="168">
        <f t="shared" si="98"/>
        <v>11.2102</v>
      </c>
      <c r="P566" s="125">
        <f t="shared" si="98"/>
        <v>0.51900000000000002</v>
      </c>
      <c r="Q566" s="125">
        <f t="shared" si="98"/>
        <v>11.59</v>
      </c>
      <c r="R566" s="233"/>
      <c r="S566" s="233"/>
    </row>
    <row r="567" spans="1:19" s="37" customFormat="1" ht="18" x14ac:dyDescent="0.2">
      <c r="A567" s="300" t="s">
        <v>35</v>
      </c>
      <c r="B567" s="302"/>
      <c r="C567" s="302"/>
      <c r="D567" s="302"/>
      <c r="E567" s="302"/>
      <c r="F567" s="302"/>
      <c r="G567" s="302"/>
      <c r="H567" s="302"/>
      <c r="I567" s="302"/>
      <c r="J567" s="302"/>
      <c r="K567" s="302"/>
      <c r="L567" s="302"/>
      <c r="M567" s="302"/>
      <c r="N567" s="302"/>
      <c r="O567" s="302"/>
      <c r="P567" s="302"/>
      <c r="Q567" s="302"/>
      <c r="R567" s="302"/>
      <c r="S567" s="303"/>
    </row>
    <row r="568" spans="1:19" s="63" customFormat="1" ht="31.5" x14ac:dyDescent="0.2">
      <c r="A568" s="49">
        <v>1</v>
      </c>
      <c r="B568" s="47" t="s">
        <v>32</v>
      </c>
      <c r="C568" s="41">
        <v>50</v>
      </c>
      <c r="D568" s="60">
        <f>13*C568/100</f>
        <v>6.5</v>
      </c>
      <c r="E568" s="60">
        <f>7.4*C568/100</f>
        <v>3.7</v>
      </c>
      <c r="F568" s="60">
        <f>45.8*C568/100</f>
        <v>22.9</v>
      </c>
      <c r="G568" s="60">
        <f>301.8*C568/100</f>
        <v>150.9</v>
      </c>
      <c r="H568" s="42">
        <f>C568*0.15/100</f>
        <v>7.4999999999999997E-2</v>
      </c>
      <c r="I568" s="42">
        <f>C568*2.46/100</f>
        <v>1.23</v>
      </c>
      <c r="J568" s="42">
        <f>C568*0.04/100</f>
        <v>0.02</v>
      </c>
      <c r="K568" s="42">
        <f>C568*2.76/100</f>
        <v>1.38</v>
      </c>
      <c r="L568" s="48">
        <f>C568*89.34/100</f>
        <v>44.67</v>
      </c>
      <c r="M568" s="48">
        <f>C568*134.93/100</f>
        <v>67.465000000000003</v>
      </c>
      <c r="N568" s="48">
        <f>C568*19.22/100</f>
        <v>9.61</v>
      </c>
      <c r="O568" s="42">
        <f>C568*0.83/100</f>
        <v>0.41499999999999998</v>
      </c>
      <c r="P568" s="49">
        <f>0.15*C568/100</f>
        <v>7.4999999999999997E-2</v>
      </c>
      <c r="Q568" s="49">
        <v>0.43</v>
      </c>
      <c r="R568" s="231" t="s">
        <v>254</v>
      </c>
      <c r="S568" s="233">
        <v>190306</v>
      </c>
    </row>
    <row r="569" spans="1:19" s="52" customFormat="1" x14ac:dyDescent="0.2">
      <c r="A569" s="49">
        <v>2</v>
      </c>
      <c r="B569" s="47" t="s">
        <v>282</v>
      </c>
      <c r="C569" s="41">
        <v>200</v>
      </c>
      <c r="D569" s="94">
        <f>2.9*C569/100</f>
        <v>5.8</v>
      </c>
      <c r="E569" s="94">
        <f>3.2*C569/100</f>
        <v>6.4</v>
      </c>
      <c r="F569" s="94">
        <v>7.6</v>
      </c>
      <c r="G569" s="94">
        <f>56*C569/100</f>
        <v>112</v>
      </c>
      <c r="H569" s="42">
        <v>0.08</v>
      </c>
      <c r="I569" s="42">
        <v>0.32</v>
      </c>
      <c r="J569" s="42">
        <v>0.04</v>
      </c>
      <c r="K569" s="42">
        <f>0*C569/100</f>
        <v>0</v>
      </c>
      <c r="L569" s="48">
        <v>240</v>
      </c>
      <c r="M569" s="48">
        <v>196</v>
      </c>
      <c r="N569" s="48">
        <f>15*C569/100</f>
        <v>30</v>
      </c>
      <c r="O569" s="42">
        <v>0.2</v>
      </c>
      <c r="P569" s="49">
        <v>0.32</v>
      </c>
      <c r="Q569" s="49">
        <v>18</v>
      </c>
      <c r="R569" s="233">
        <v>230101</v>
      </c>
      <c r="S569" s="233"/>
    </row>
    <row r="570" spans="1:19" s="37" customFormat="1" x14ac:dyDescent="0.2">
      <c r="A570" s="49"/>
      <c r="B570" s="132" t="s">
        <v>4</v>
      </c>
      <c r="C570" s="120"/>
      <c r="D570" s="169">
        <f t="shared" ref="D570:Q570" si="99">SUM(D568:D569)</f>
        <v>12.3</v>
      </c>
      <c r="E570" s="169">
        <f t="shared" si="99"/>
        <v>10.100000000000001</v>
      </c>
      <c r="F570" s="169">
        <f t="shared" si="99"/>
        <v>30.5</v>
      </c>
      <c r="G570" s="169">
        <f t="shared" si="99"/>
        <v>262.89999999999998</v>
      </c>
      <c r="H570" s="169">
        <f t="shared" si="99"/>
        <v>0.155</v>
      </c>
      <c r="I570" s="169">
        <f t="shared" si="99"/>
        <v>1.55</v>
      </c>
      <c r="J570" s="169">
        <f t="shared" si="99"/>
        <v>0.06</v>
      </c>
      <c r="K570" s="169">
        <f t="shared" si="99"/>
        <v>1.38</v>
      </c>
      <c r="L570" s="152">
        <f t="shared" si="99"/>
        <v>284.67</v>
      </c>
      <c r="M570" s="152">
        <f t="shared" si="99"/>
        <v>263.46500000000003</v>
      </c>
      <c r="N570" s="152">
        <f t="shared" si="99"/>
        <v>39.61</v>
      </c>
      <c r="O570" s="169">
        <f t="shared" si="99"/>
        <v>0.61499999999999999</v>
      </c>
      <c r="P570" s="125">
        <f t="shared" si="99"/>
        <v>0.39500000000000002</v>
      </c>
      <c r="Q570" s="125">
        <f t="shared" si="99"/>
        <v>18.43</v>
      </c>
      <c r="R570" s="233"/>
      <c r="S570" s="233"/>
    </row>
    <row r="571" spans="1:19" s="37" customFormat="1" x14ac:dyDescent="0.2">
      <c r="A571" s="49"/>
      <c r="B571" s="132" t="s">
        <v>7</v>
      </c>
      <c r="C571" s="120"/>
      <c r="D571" s="168">
        <f t="shared" ref="D571:Q571" si="100">D556+D566+D570</f>
        <v>39.572000000000003</v>
      </c>
      <c r="E571" s="168">
        <f t="shared" si="100"/>
        <v>58.664999999999999</v>
      </c>
      <c r="F571" s="168">
        <f t="shared" si="100"/>
        <v>237.071</v>
      </c>
      <c r="G571" s="168">
        <f t="shared" si="100"/>
        <v>1617.1330000000003</v>
      </c>
      <c r="H571" s="168">
        <f t="shared" si="100"/>
        <v>1.732</v>
      </c>
      <c r="I571" s="168">
        <f t="shared" si="100"/>
        <v>44.715999999999994</v>
      </c>
      <c r="J571" s="168">
        <f t="shared" si="100"/>
        <v>3.0269999999999997</v>
      </c>
      <c r="K571" s="168">
        <f t="shared" si="100"/>
        <v>11.431000000000001</v>
      </c>
      <c r="L571" s="167">
        <f t="shared" si="100"/>
        <v>639.48700000000008</v>
      </c>
      <c r="M571" s="167">
        <f t="shared" si="100"/>
        <v>833.26099999999997</v>
      </c>
      <c r="N571" s="167">
        <f t="shared" si="100"/>
        <v>178.97700000000003</v>
      </c>
      <c r="O571" s="168">
        <f t="shared" si="100"/>
        <v>16.975199999999997</v>
      </c>
      <c r="P571" s="168">
        <f t="shared" si="100"/>
        <v>1.5740000000000001</v>
      </c>
      <c r="Q571" s="168">
        <f t="shared" si="100"/>
        <v>39.799999999999997</v>
      </c>
      <c r="R571" s="233"/>
      <c r="S571" s="233"/>
    </row>
    <row r="572" spans="1:19" x14ac:dyDescent="0.3">
      <c r="A572" s="49"/>
      <c r="B572" s="132" t="s">
        <v>153</v>
      </c>
      <c r="C572" s="159"/>
      <c r="D572" s="168">
        <f t="shared" ref="D572:Q572" si="101">(D460+D482+D505+D526+D549+D571)/6</f>
        <v>61.514833333333321</v>
      </c>
      <c r="E572" s="168">
        <f t="shared" si="101"/>
        <v>60.013500000000001</v>
      </c>
      <c r="F572" s="168">
        <f t="shared" si="101"/>
        <v>215.3363333333333</v>
      </c>
      <c r="G572" s="168">
        <f t="shared" si="101"/>
        <v>1619.5751666666667</v>
      </c>
      <c r="H572" s="168">
        <f t="shared" si="101"/>
        <v>1.3921999999999999</v>
      </c>
      <c r="I572" s="168">
        <f t="shared" si="101"/>
        <v>123.78050000000002</v>
      </c>
      <c r="J572" s="168">
        <f t="shared" si="101"/>
        <v>1.3668333333333333</v>
      </c>
      <c r="K572" s="168">
        <f t="shared" si="101"/>
        <v>6.4448333333333325</v>
      </c>
      <c r="L572" s="168">
        <f t="shared" si="101"/>
        <v>632.26850000000002</v>
      </c>
      <c r="M572" s="168">
        <f t="shared" si="101"/>
        <v>840.80149999999992</v>
      </c>
      <c r="N572" s="168">
        <f t="shared" si="101"/>
        <v>214.55200000000002</v>
      </c>
      <c r="O572" s="168">
        <f t="shared" si="101"/>
        <v>14.200266666666666</v>
      </c>
      <c r="P572" s="168">
        <f t="shared" si="101"/>
        <v>1.29345</v>
      </c>
      <c r="Q572" s="168">
        <f t="shared" si="101"/>
        <v>49.615833333333335</v>
      </c>
      <c r="R572" s="233"/>
      <c r="S572" s="233"/>
    </row>
    <row r="573" spans="1:19" x14ac:dyDescent="0.3">
      <c r="A573" s="49"/>
      <c r="B573" s="132" t="s">
        <v>154</v>
      </c>
      <c r="C573" s="159"/>
      <c r="D573" s="253">
        <f t="shared" ref="D573:Q573" si="102">(D153+D292+D435+D572)/4</f>
        <v>59.844791666666666</v>
      </c>
      <c r="E573" s="168">
        <f t="shared" si="102"/>
        <v>57.937854166666668</v>
      </c>
      <c r="F573" s="168">
        <f t="shared" si="102"/>
        <v>223.0082083333333</v>
      </c>
      <c r="G573" s="168">
        <f t="shared" si="102"/>
        <v>1639.5353333333333</v>
      </c>
      <c r="H573" s="168">
        <f t="shared" si="102"/>
        <v>1.3234833333333333</v>
      </c>
      <c r="I573" s="168">
        <f t="shared" si="102"/>
        <v>105.09162500000001</v>
      </c>
      <c r="J573" s="168">
        <f t="shared" si="102"/>
        <v>1.1895895000000001</v>
      </c>
      <c r="K573" s="168">
        <f t="shared" si="102"/>
        <v>6.555041666666666</v>
      </c>
      <c r="L573" s="168">
        <f t="shared" si="102"/>
        <v>598.47058333333337</v>
      </c>
      <c r="M573" s="168">
        <f t="shared" si="102"/>
        <v>769.51687500000003</v>
      </c>
      <c r="N573" s="168">
        <f t="shared" si="102"/>
        <v>216.03314583333332</v>
      </c>
      <c r="O573" s="168">
        <f t="shared" si="102"/>
        <v>11.951425</v>
      </c>
      <c r="P573" s="168">
        <f t="shared" si="102"/>
        <v>1.2137457291666667</v>
      </c>
      <c r="Q573" s="253">
        <f t="shared" si="102"/>
        <v>43.143812499999996</v>
      </c>
      <c r="R573" s="233"/>
      <c r="S573" s="233"/>
    </row>
    <row r="574" spans="1:19" s="268" customFormat="1" ht="24.75" customHeight="1" x14ac:dyDescent="0.2">
      <c r="A574" s="254"/>
      <c r="B574" s="342" t="s">
        <v>279</v>
      </c>
      <c r="C574" s="342"/>
      <c r="D574" s="342"/>
      <c r="E574" s="342"/>
      <c r="F574" s="342"/>
      <c r="G574" s="342"/>
      <c r="H574" s="342"/>
      <c r="I574" s="342"/>
      <c r="J574" s="342"/>
      <c r="K574" s="342"/>
      <c r="L574" s="342"/>
      <c r="M574" s="342"/>
      <c r="N574" s="342"/>
      <c r="O574" s="342"/>
      <c r="P574" s="265"/>
      <c r="Q574" s="266"/>
      <c r="R574" s="267"/>
      <c r="S574" s="267"/>
    </row>
    <row r="575" spans="1:19" ht="18.75" customHeight="1" x14ac:dyDescent="0.3">
      <c r="A575" s="252"/>
      <c r="B575" s="342" t="s">
        <v>280</v>
      </c>
      <c r="C575" s="342"/>
      <c r="D575" s="342"/>
      <c r="E575" s="342"/>
      <c r="F575" s="342"/>
      <c r="G575" s="342"/>
      <c r="H575" s="342"/>
      <c r="I575" s="342"/>
      <c r="J575" s="342"/>
      <c r="K575" s="342"/>
      <c r="L575" s="342"/>
      <c r="M575" s="342"/>
      <c r="N575" s="342"/>
      <c r="O575" s="342"/>
      <c r="Q575" s="255"/>
      <c r="R575" s="145"/>
      <c r="S575" s="145"/>
    </row>
    <row r="576" spans="1:19" x14ac:dyDescent="0.3">
      <c r="A576" s="252"/>
      <c r="B576" s="342"/>
      <c r="C576" s="342"/>
      <c r="D576" s="342"/>
      <c r="E576" s="342"/>
      <c r="F576" s="342"/>
      <c r="G576" s="342"/>
      <c r="H576" s="342"/>
      <c r="I576" s="342"/>
      <c r="J576" s="342"/>
      <c r="K576" s="342"/>
      <c r="L576" s="342"/>
      <c r="M576" s="342"/>
      <c r="N576" s="342"/>
      <c r="O576" s="342"/>
      <c r="Q576" s="255"/>
      <c r="R576" s="145"/>
      <c r="S576" s="145"/>
    </row>
    <row r="577" spans="1:19" x14ac:dyDescent="0.3">
      <c r="G577" s="81"/>
      <c r="H577" s="81"/>
      <c r="Q577" s="255"/>
      <c r="R577" s="145"/>
      <c r="S577" s="145"/>
    </row>
    <row r="578" spans="1:19" x14ac:dyDescent="0.3">
      <c r="G578" s="81"/>
      <c r="H578" s="81"/>
      <c r="Q578" s="255"/>
      <c r="R578" s="256"/>
    </row>
    <row r="579" spans="1:19" x14ac:dyDescent="0.3">
      <c r="G579" s="81"/>
      <c r="H579" s="81"/>
      <c r="Q579" s="255"/>
      <c r="R579" s="256"/>
    </row>
    <row r="580" spans="1:19" x14ac:dyDescent="0.3">
      <c r="G580" s="81"/>
      <c r="H580" s="81"/>
      <c r="Q580" s="255"/>
      <c r="R580" s="256"/>
    </row>
    <row r="581" spans="1:19" s="35" customFormat="1" ht="20.25" x14ac:dyDescent="0.3">
      <c r="A581" s="138"/>
      <c r="B581" s="160" t="s">
        <v>73</v>
      </c>
      <c r="C581" s="161"/>
      <c r="D581" s="137"/>
      <c r="E581" s="137"/>
      <c r="F581" s="137"/>
      <c r="G581" s="257"/>
      <c r="H581" s="257"/>
      <c r="I581" s="137"/>
      <c r="J581" s="137"/>
      <c r="K581" s="137"/>
      <c r="L581" s="162"/>
      <c r="M581" s="162"/>
      <c r="N581" s="162"/>
      <c r="O581" s="137"/>
      <c r="P581" s="141"/>
      <c r="Q581" s="259"/>
      <c r="R581" s="260"/>
    </row>
    <row r="582" spans="1:19" s="35" customFormat="1" ht="21" x14ac:dyDescent="0.3">
      <c r="A582" s="138"/>
      <c r="B582" s="163" t="s">
        <v>74</v>
      </c>
      <c r="C582" s="161"/>
      <c r="D582" s="164">
        <f t="shared" ref="D582:Q582" si="103">SUM(D15,D40,D61,D87,D110,D134)/6</f>
        <v>20.604500000000002</v>
      </c>
      <c r="E582" s="164">
        <f t="shared" si="103"/>
        <v>19.763833333333334</v>
      </c>
      <c r="F582" s="164">
        <f t="shared" si="103"/>
        <v>75.988166666666658</v>
      </c>
      <c r="G582" s="164">
        <f t="shared" si="103"/>
        <v>566.2600000000001</v>
      </c>
      <c r="H582" s="164">
        <f t="shared" si="103"/>
        <v>0.4147333333333334</v>
      </c>
      <c r="I582" s="164">
        <f t="shared" si="103"/>
        <v>50.085333333333331</v>
      </c>
      <c r="J582" s="164">
        <f t="shared" si="103"/>
        <v>0.10366666666666667</v>
      </c>
      <c r="K582" s="164">
        <f t="shared" si="103"/>
        <v>1.8123333333333334</v>
      </c>
      <c r="L582" s="164">
        <f t="shared" si="103"/>
        <v>222.71516666666665</v>
      </c>
      <c r="M582" s="164">
        <f t="shared" si="103"/>
        <v>236.13766666666666</v>
      </c>
      <c r="N582" s="164">
        <f t="shared" si="103"/>
        <v>64.487833333333342</v>
      </c>
      <c r="O582" s="164">
        <f t="shared" si="103"/>
        <v>2.835833333333333</v>
      </c>
      <c r="P582" s="164">
        <f t="shared" si="103"/>
        <v>0.44103333333333339</v>
      </c>
      <c r="Q582" s="164">
        <f t="shared" si="103"/>
        <v>10.147500000000001</v>
      </c>
      <c r="R582" s="260"/>
    </row>
    <row r="583" spans="1:19" s="35" customFormat="1" ht="21" x14ac:dyDescent="0.3">
      <c r="A583" s="138"/>
      <c r="B583" s="163" t="s">
        <v>75</v>
      </c>
      <c r="C583" s="161"/>
      <c r="D583" s="164">
        <f t="shared" ref="D583:Q583" si="104">D582+SUM(D25,D48,D71,D97,D120,D145)/6</f>
        <v>48.513833333333338</v>
      </c>
      <c r="E583" s="164">
        <f t="shared" si="104"/>
        <v>49.734250000000003</v>
      </c>
      <c r="F583" s="164">
        <f t="shared" si="104"/>
        <v>187.61449999999996</v>
      </c>
      <c r="G583" s="164">
        <f t="shared" si="104"/>
        <v>1379.4236666666668</v>
      </c>
      <c r="H583" s="164">
        <f t="shared" si="104"/>
        <v>1.1225666666666667</v>
      </c>
      <c r="I583" s="164">
        <f t="shared" si="104"/>
        <v>104.881</v>
      </c>
      <c r="J583" s="164">
        <f t="shared" si="104"/>
        <v>0.55373866666666671</v>
      </c>
      <c r="K583" s="164">
        <f t="shared" si="104"/>
        <v>4.5488333333333326</v>
      </c>
      <c r="L583" s="164">
        <f t="shared" si="104"/>
        <v>440.3653333333333</v>
      </c>
      <c r="M583" s="164">
        <f t="shared" si="104"/>
        <v>648.97199999999998</v>
      </c>
      <c r="N583" s="164">
        <f t="shared" si="104"/>
        <v>209.97408333333334</v>
      </c>
      <c r="O583" s="164">
        <f t="shared" si="104"/>
        <v>12.058333333333335</v>
      </c>
      <c r="P583" s="164">
        <f t="shared" si="104"/>
        <v>0.97153291666666675</v>
      </c>
      <c r="Q583" s="164">
        <f t="shared" si="104"/>
        <v>35.691833333333335</v>
      </c>
      <c r="R583" s="260"/>
    </row>
    <row r="584" spans="1:19" s="35" customFormat="1" ht="21" x14ac:dyDescent="0.3">
      <c r="A584" s="138"/>
      <c r="B584" s="163" t="s">
        <v>76</v>
      </c>
      <c r="C584" s="161"/>
      <c r="D584" s="164">
        <f t="shared" ref="D584:Q584" si="105">SUM(D30,D53,D79,D102,D125,D152)/6</f>
        <v>57.996166666666674</v>
      </c>
      <c r="E584" s="164">
        <f t="shared" si="105"/>
        <v>59.096583333333335</v>
      </c>
      <c r="F584" s="164">
        <f t="shared" si="105"/>
        <v>227.31283333333332</v>
      </c>
      <c r="G584" s="164">
        <f t="shared" si="105"/>
        <v>1658.5103333333336</v>
      </c>
      <c r="H584" s="164">
        <f t="shared" si="105"/>
        <v>1.3754000000000002</v>
      </c>
      <c r="I584" s="164">
        <f t="shared" si="105"/>
        <v>116.95766666666668</v>
      </c>
      <c r="J584" s="164">
        <f t="shared" si="105"/>
        <v>0.74307200000000007</v>
      </c>
      <c r="K584" s="164">
        <f t="shared" si="105"/>
        <v>5.7355000000000009</v>
      </c>
      <c r="L584" s="164">
        <f t="shared" si="105"/>
        <v>573.52133333333325</v>
      </c>
      <c r="M584" s="164">
        <f t="shared" si="105"/>
        <v>754.16949999999997</v>
      </c>
      <c r="N584" s="164">
        <f t="shared" si="105"/>
        <v>230.19408333333331</v>
      </c>
      <c r="O584" s="164">
        <f t="shared" si="105"/>
        <v>12.915666666666668</v>
      </c>
      <c r="P584" s="164">
        <f t="shared" si="105"/>
        <v>1.1131995833333332</v>
      </c>
      <c r="Q584" s="164">
        <f t="shared" si="105"/>
        <v>40.441833333333328</v>
      </c>
      <c r="R584" s="260"/>
    </row>
    <row r="585" spans="1:19" s="35" customFormat="1" ht="21" x14ac:dyDescent="0.3">
      <c r="A585" s="138"/>
      <c r="B585" s="163"/>
      <c r="C585" s="161"/>
      <c r="D585" s="164"/>
      <c r="E585" s="164"/>
      <c r="F585" s="164"/>
      <c r="G585" s="258"/>
      <c r="H585" s="258"/>
      <c r="I585" s="164"/>
      <c r="J585" s="164"/>
      <c r="K585" s="164"/>
      <c r="L585" s="165"/>
      <c r="M585" s="165"/>
      <c r="N585" s="165"/>
      <c r="O585" s="164"/>
      <c r="P585" s="141"/>
      <c r="Q585" s="259"/>
      <c r="R585" s="260"/>
    </row>
    <row r="586" spans="1:19" s="35" customFormat="1" ht="21" x14ac:dyDescent="0.3">
      <c r="A586" s="138"/>
      <c r="B586" s="163" t="s">
        <v>77</v>
      </c>
      <c r="C586" s="161"/>
      <c r="D586" s="164"/>
      <c r="E586" s="164"/>
      <c r="F586" s="164"/>
      <c r="G586" s="258"/>
      <c r="H586" s="258"/>
      <c r="I586" s="164"/>
      <c r="J586" s="164"/>
      <c r="K586" s="164"/>
      <c r="L586" s="165"/>
      <c r="M586" s="165"/>
      <c r="N586" s="165"/>
      <c r="O586" s="164"/>
      <c r="P586" s="141"/>
      <c r="Q586" s="259"/>
      <c r="R586" s="260"/>
    </row>
    <row r="587" spans="1:19" s="35" customFormat="1" ht="21" x14ac:dyDescent="0.3">
      <c r="A587" s="138"/>
      <c r="B587" s="163" t="s">
        <v>74</v>
      </c>
      <c r="C587" s="161"/>
      <c r="D587" s="164">
        <f t="shared" ref="D587:Q587" si="106">SUM(D276,D161,D186,D208,D232,D254)/6</f>
        <v>18.924666666666667</v>
      </c>
      <c r="E587" s="164">
        <f t="shared" si="106"/>
        <v>17.283333333333331</v>
      </c>
      <c r="F587" s="164">
        <f t="shared" si="106"/>
        <v>77.45</v>
      </c>
      <c r="G587" s="164">
        <f t="shared" si="106"/>
        <v>553.20666666666671</v>
      </c>
      <c r="H587" s="164">
        <f t="shared" si="106"/>
        <v>0.35433333333333333</v>
      </c>
      <c r="I587" s="164">
        <f t="shared" si="106"/>
        <v>19.363333333333333</v>
      </c>
      <c r="J587" s="164">
        <f t="shared" si="106"/>
        <v>7.6999999999999999E-2</v>
      </c>
      <c r="K587" s="164">
        <f t="shared" si="106"/>
        <v>1.5641666666666669</v>
      </c>
      <c r="L587" s="164">
        <f t="shared" si="106"/>
        <v>228.70249999999999</v>
      </c>
      <c r="M587" s="164">
        <f t="shared" si="106"/>
        <v>218.98583333333332</v>
      </c>
      <c r="N587" s="164">
        <f t="shared" si="106"/>
        <v>58.59</v>
      </c>
      <c r="O587" s="164">
        <f t="shared" si="106"/>
        <v>2.3057000000000003</v>
      </c>
      <c r="P587" s="164">
        <f t="shared" si="106"/>
        <v>0.318</v>
      </c>
      <c r="Q587" s="164">
        <f t="shared" si="106"/>
        <v>5.0358333333333327</v>
      </c>
    </row>
    <row r="588" spans="1:19" s="35" customFormat="1" ht="21" x14ac:dyDescent="0.3">
      <c r="A588" s="138"/>
      <c r="B588" s="163" t="s">
        <v>75</v>
      </c>
      <c r="C588" s="161"/>
      <c r="D588" s="164">
        <f t="shared" ref="D588:Q588" si="107">D587+SUM(D195,D172,D217,D241,D264,D286)/6</f>
        <v>50.383416666666662</v>
      </c>
      <c r="E588" s="164">
        <f t="shared" si="107"/>
        <v>43.937666666666658</v>
      </c>
      <c r="F588" s="164">
        <f t="shared" si="107"/>
        <v>185.00549999999998</v>
      </c>
      <c r="G588" s="164">
        <f t="shared" si="107"/>
        <v>1336.4938333333334</v>
      </c>
      <c r="H588" s="164">
        <f t="shared" si="107"/>
        <v>0.88749999999999996</v>
      </c>
      <c r="I588" s="164">
        <f t="shared" si="107"/>
        <v>74.650999999999996</v>
      </c>
      <c r="J588" s="164">
        <f t="shared" si="107"/>
        <v>1.3161193333333332</v>
      </c>
      <c r="K588" s="164">
        <f t="shared" si="107"/>
        <v>7.3608333333333338</v>
      </c>
      <c r="L588" s="164">
        <f t="shared" si="107"/>
        <v>459.30133333333333</v>
      </c>
      <c r="M588" s="164">
        <f t="shared" si="107"/>
        <v>644.34799999999996</v>
      </c>
      <c r="N588" s="164">
        <f t="shared" si="107"/>
        <v>207.50600000000003</v>
      </c>
      <c r="O588" s="164">
        <f t="shared" si="107"/>
        <v>9.5892333333333344</v>
      </c>
      <c r="P588" s="164">
        <f t="shared" si="107"/>
        <v>0.9893333333333334</v>
      </c>
      <c r="Q588" s="164">
        <f t="shared" si="107"/>
        <v>20.705833333333331</v>
      </c>
    </row>
    <row r="589" spans="1:19" s="35" customFormat="1" ht="21" x14ac:dyDescent="0.3">
      <c r="A589" s="138"/>
      <c r="B589" s="163" t="s">
        <v>76</v>
      </c>
      <c r="C589" s="161"/>
      <c r="D589" s="164">
        <f t="shared" ref="D589:Q589" si="108">SUM(D177,D200,D222,D246,D269,D291)/6</f>
        <v>59.300083333333333</v>
      </c>
      <c r="E589" s="164">
        <f t="shared" si="108"/>
        <v>55.224333333333334</v>
      </c>
      <c r="F589" s="164">
        <f t="shared" si="108"/>
        <v>228.36716666666666</v>
      </c>
      <c r="G589" s="164">
        <f t="shared" si="108"/>
        <v>1645.6288333333334</v>
      </c>
      <c r="H589" s="164">
        <f t="shared" si="108"/>
        <v>1.2850000000000001</v>
      </c>
      <c r="I589" s="164">
        <f t="shared" si="108"/>
        <v>90.850166666666667</v>
      </c>
      <c r="J589" s="164">
        <f t="shared" si="108"/>
        <v>1.8002859999999998</v>
      </c>
      <c r="K589" s="164">
        <f t="shared" si="108"/>
        <v>9.2766666666666655</v>
      </c>
      <c r="L589" s="164">
        <f t="shared" si="108"/>
        <v>547.31883333333337</v>
      </c>
      <c r="M589" s="164">
        <f t="shared" si="108"/>
        <v>723.74633333333338</v>
      </c>
      <c r="N589" s="164">
        <f t="shared" si="108"/>
        <v>225.13850000000002</v>
      </c>
      <c r="O589" s="164">
        <f t="shared" si="108"/>
        <v>10.422566666666667</v>
      </c>
      <c r="P589" s="164">
        <f t="shared" si="108"/>
        <v>1.1285000000000001</v>
      </c>
      <c r="Q589" s="164">
        <f t="shared" si="108"/>
        <v>31.557500000000001</v>
      </c>
    </row>
    <row r="590" spans="1:19" s="35" customFormat="1" ht="21" x14ac:dyDescent="0.3">
      <c r="A590" s="138"/>
      <c r="B590" s="163"/>
      <c r="C590" s="161"/>
      <c r="D590" s="164"/>
      <c r="E590" s="164"/>
      <c r="F590" s="164"/>
      <c r="G590" s="258"/>
      <c r="H590" s="258"/>
      <c r="I590" s="258"/>
      <c r="J590" s="258"/>
      <c r="K590" s="258"/>
      <c r="L590" s="261"/>
      <c r="M590" s="261"/>
      <c r="N590" s="261"/>
      <c r="O590" s="258"/>
      <c r="P590" s="259"/>
      <c r="Q590" s="259"/>
      <c r="R590" s="260"/>
    </row>
    <row r="591" spans="1:19" s="35" customFormat="1" ht="21" x14ac:dyDescent="0.3">
      <c r="A591" s="138"/>
      <c r="B591" s="163" t="s">
        <v>78</v>
      </c>
      <c r="C591" s="161"/>
      <c r="D591" s="164"/>
      <c r="E591" s="164"/>
      <c r="F591" s="164"/>
      <c r="G591" s="258"/>
      <c r="H591" s="258"/>
      <c r="I591" s="258"/>
      <c r="J591" s="258"/>
      <c r="K591" s="258"/>
      <c r="L591" s="261"/>
      <c r="M591" s="261"/>
      <c r="N591" s="261"/>
      <c r="O591" s="258"/>
      <c r="P591" s="259"/>
      <c r="Q591" s="259"/>
      <c r="R591" s="260"/>
    </row>
    <row r="592" spans="1:19" s="35" customFormat="1" ht="21" x14ac:dyDescent="0.3">
      <c r="A592" s="138"/>
      <c r="B592" s="163" t="s">
        <v>74</v>
      </c>
      <c r="C592" s="161"/>
      <c r="D592" s="164">
        <f t="shared" ref="D592:Q592" si="109">SUM(D300,D326,D350,D372,D395,D419)/6</f>
        <v>22.767166666666668</v>
      </c>
      <c r="E592" s="164">
        <f t="shared" si="109"/>
        <v>18.123333333333331</v>
      </c>
      <c r="F592" s="164">
        <f t="shared" si="109"/>
        <v>75.644166666666663</v>
      </c>
      <c r="G592" s="164">
        <f t="shared" si="109"/>
        <v>554.63666666666666</v>
      </c>
      <c r="H592" s="164">
        <f t="shared" si="109"/>
        <v>0.42066666666666669</v>
      </c>
      <c r="I592" s="164">
        <f t="shared" si="109"/>
        <v>23.293333333333333</v>
      </c>
      <c r="J592" s="164">
        <f t="shared" si="109"/>
        <v>0.24800000000000003</v>
      </c>
      <c r="K592" s="164">
        <f t="shared" si="109"/>
        <v>0.92616666666666669</v>
      </c>
      <c r="L592" s="164">
        <f t="shared" si="109"/>
        <v>270.85983333333337</v>
      </c>
      <c r="M592" s="164">
        <f t="shared" si="109"/>
        <v>246.93983333333333</v>
      </c>
      <c r="N592" s="164">
        <f t="shared" si="109"/>
        <v>45.930166666666672</v>
      </c>
      <c r="O592" s="164">
        <f t="shared" si="109"/>
        <v>1.6793000000000002</v>
      </c>
      <c r="P592" s="164">
        <f t="shared" si="109"/>
        <v>0.41883333333333339</v>
      </c>
      <c r="Q592" s="164">
        <f t="shared" si="109"/>
        <v>18.045000000000002</v>
      </c>
      <c r="R592" s="260"/>
    </row>
    <row r="593" spans="1:18" s="35" customFormat="1" ht="21" x14ac:dyDescent="0.3">
      <c r="A593" s="138"/>
      <c r="B593" s="163" t="s">
        <v>75</v>
      </c>
      <c r="C593" s="161"/>
      <c r="D593" s="164">
        <f t="shared" ref="D593:Q593" si="110">D592+SUM(D311,D335,D360,D382,D405,D429)/6</f>
        <v>52.256749999999997</v>
      </c>
      <c r="E593" s="164">
        <f t="shared" si="110"/>
        <v>46.547999999999995</v>
      </c>
      <c r="F593" s="164">
        <f t="shared" si="110"/>
        <v>182.2465</v>
      </c>
      <c r="G593" s="164">
        <f t="shared" si="110"/>
        <v>1354.35</v>
      </c>
      <c r="H593" s="164">
        <f t="shared" si="110"/>
        <v>1.1128333333333333</v>
      </c>
      <c r="I593" s="164">
        <f t="shared" si="110"/>
        <v>82.600333333333325</v>
      </c>
      <c r="J593" s="164">
        <f t="shared" si="110"/>
        <v>0.62433333333333341</v>
      </c>
      <c r="K593" s="164">
        <f t="shared" si="110"/>
        <v>4.0051666666666668</v>
      </c>
      <c r="L593" s="164">
        <f t="shared" si="110"/>
        <v>483.68316666666669</v>
      </c>
      <c r="M593" s="164">
        <f t="shared" si="110"/>
        <v>643.60983333333331</v>
      </c>
      <c r="N593" s="164">
        <f t="shared" si="110"/>
        <v>173.03383333333335</v>
      </c>
      <c r="O593" s="164">
        <f t="shared" si="110"/>
        <v>9.568366666666666</v>
      </c>
      <c r="P593" s="164">
        <f t="shared" si="110"/>
        <v>1.1533333333333333</v>
      </c>
      <c r="Q593" s="164">
        <f t="shared" si="110"/>
        <v>48.535083333333333</v>
      </c>
      <c r="R593" s="260"/>
    </row>
    <row r="594" spans="1:18" s="35" customFormat="1" ht="21" x14ac:dyDescent="0.3">
      <c r="A594" s="138"/>
      <c r="B594" s="163" t="s">
        <v>76</v>
      </c>
      <c r="C594" s="161"/>
      <c r="D594" s="164">
        <f t="shared" ref="D594:Q594" si="111">SUM(D317,D341,D365,D387,D410,D434)/6</f>
        <v>60.568083333333334</v>
      </c>
      <c r="E594" s="164">
        <f t="shared" si="111"/>
        <v>57.417000000000002</v>
      </c>
      <c r="F594" s="164">
        <f t="shared" si="111"/>
        <v>221.01649999999998</v>
      </c>
      <c r="G594" s="164">
        <f t="shared" si="111"/>
        <v>1634.4269999999999</v>
      </c>
      <c r="H594" s="164">
        <f t="shared" si="111"/>
        <v>1.2413333333333336</v>
      </c>
      <c r="I594" s="164">
        <f t="shared" si="111"/>
        <v>88.778166666666664</v>
      </c>
      <c r="J594" s="164">
        <f t="shared" si="111"/>
        <v>0.84816666666666674</v>
      </c>
      <c r="K594" s="164">
        <f t="shared" si="111"/>
        <v>4.7631666666666668</v>
      </c>
      <c r="L594" s="164">
        <f t="shared" si="111"/>
        <v>640.7736666666666</v>
      </c>
      <c r="M594" s="164">
        <f t="shared" si="111"/>
        <v>759.35016666666661</v>
      </c>
      <c r="N594" s="164">
        <f t="shared" si="111"/>
        <v>194.24799999999996</v>
      </c>
      <c r="O594" s="164">
        <f t="shared" si="111"/>
        <v>10.267200000000001</v>
      </c>
      <c r="P594" s="164">
        <f t="shared" si="111"/>
        <v>1.3198333333333334</v>
      </c>
      <c r="Q594" s="164">
        <f t="shared" si="111"/>
        <v>50.96008333333333</v>
      </c>
      <c r="R594" s="260"/>
    </row>
    <row r="595" spans="1:18" s="35" customFormat="1" ht="21" x14ac:dyDescent="0.3">
      <c r="A595" s="138"/>
      <c r="B595" s="163"/>
      <c r="C595" s="161"/>
      <c r="D595" s="164"/>
      <c r="E595" s="164"/>
      <c r="F595" s="164"/>
      <c r="G595" s="258"/>
      <c r="H595" s="258"/>
      <c r="I595" s="258"/>
      <c r="J595" s="258"/>
      <c r="K595" s="258"/>
      <c r="L595" s="261"/>
      <c r="M595" s="261"/>
      <c r="N595" s="261"/>
      <c r="O595" s="258"/>
      <c r="P595" s="259"/>
      <c r="Q595" s="259"/>
      <c r="R595" s="260"/>
    </row>
    <row r="596" spans="1:18" s="35" customFormat="1" ht="21" x14ac:dyDescent="0.3">
      <c r="A596" s="138"/>
      <c r="B596" s="163" t="s">
        <v>79</v>
      </c>
      <c r="C596" s="161"/>
      <c r="D596" s="164"/>
      <c r="E596" s="164"/>
      <c r="F596" s="164"/>
      <c r="G596" s="258"/>
      <c r="H596" s="258"/>
      <c r="I596" s="258"/>
      <c r="J596" s="258"/>
      <c r="K596" s="258"/>
      <c r="L596" s="261"/>
      <c r="M596" s="261"/>
      <c r="N596" s="261"/>
      <c r="O596" s="258"/>
      <c r="P596" s="259"/>
      <c r="Q596" s="259"/>
      <c r="R596" s="260"/>
    </row>
    <row r="597" spans="1:18" s="35" customFormat="1" ht="21" x14ac:dyDescent="0.3">
      <c r="A597" s="138"/>
      <c r="B597" s="163" t="s">
        <v>74</v>
      </c>
      <c r="C597" s="161"/>
      <c r="D597" s="164">
        <f t="shared" ref="D597:Q597" si="112">SUM(D443,D468,D489,D512,D536,D556)/6</f>
        <v>19.5945</v>
      </c>
      <c r="E597" s="164">
        <f t="shared" si="112"/>
        <v>25.148</v>
      </c>
      <c r="F597" s="164">
        <f t="shared" si="112"/>
        <v>66.201499999999996</v>
      </c>
      <c r="G597" s="164">
        <f t="shared" si="112"/>
        <v>571.57000000000005</v>
      </c>
      <c r="H597" s="164">
        <f t="shared" si="112"/>
        <v>0.4104000000000001</v>
      </c>
      <c r="I597" s="164">
        <f t="shared" si="112"/>
        <v>61.232833333333332</v>
      </c>
      <c r="J597" s="164">
        <f t="shared" si="112"/>
        <v>0.20600000000000004</v>
      </c>
      <c r="K597" s="164">
        <f t="shared" si="112"/>
        <v>1.5081666666666667</v>
      </c>
      <c r="L597" s="164">
        <f t="shared" si="112"/>
        <v>231.36516666666662</v>
      </c>
      <c r="M597" s="164">
        <f t="shared" si="112"/>
        <v>200.66516666666666</v>
      </c>
      <c r="N597" s="164">
        <f t="shared" si="112"/>
        <v>40.713833333333334</v>
      </c>
      <c r="O597" s="164">
        <f t="shared" si="112"/>
        <v>2.5441666666666665</v>
      </c>
      <c r="P597" s="164">
        <f t="shared" si="112"/>
        <v>0.41470000000000001</v>
      </c>
      <c r="Q597" s="164">
        <f t="shared" si="112"/>
        <v>13.675833333333335</v>
      </c>
      <c r="R597" s="260"/>
    </row>
    <row r="598" spans="1:18" s="35" customFormat="1" ht="21" x14ac:dyDescent="0.3">
      <c r="A598" s="138"/>
      <c r="B598" s="163" t="s">
        <v>75</v>
      </c>
      <c r="C598" s="161"/>
      <c r="D598" s="164">
        <f t="shared" ref="D598:Q598" si="113">D597+SUM(D454,D477,D500,D521,D544,D566)/6</f>
        <v>48.410249999999998</v>
      </c>
      <c r="E598" s="164">
        <f t="shared" si="113"/>
        <v>51.061833333333325</v>
      </c>
      <c r="F598" s="164">
        <f t="shared" si="113"/>
        <v>175.51966666666667</v>
      </c>
      <c r="G598" s="164">
        <f t="shared" si="113"/>
        <v>1336.3951666666667</v>
      </c>
      <c r="H598" s="164">
        <f t="shared" si="113"/>
        <v>1.1188666666666669</v>
      </c>
      <c r="I598" s="164">
        <f t="shared" si="113"/>
        <v>114.2355</v>
      </c>
      <c r="J598" s="164">
        <f t="shared" si="113"/>
        <v>1.3226666666666664</v>
      </c>
      <c r="K598" s="164">
        <f t="shared" si="113"/>
        <v>5.3148333333333335</v>
      </c>
      <c r="L598" s="164">
        <f t="shared" si="113"/>
        <v>447.66349999999994</v>
      </c>
      <c r="M598" s="164">
        <f t="shared" si="113"/>
        <v>692.35733333333337</v>
      </c>
      <c r="N598" s="164">
        <f t="shared" si="113"/>
        <v>188.2345</v>
      </c>
      <c r="O598" s="164">
        <f t="shared" si="113"/>
        <v>13.3261</v>
      </c>
      <c r="P598" s="164">
        <f t="shared" si="113"/>
        <v>1.0451166666666667</v>
      </c>
      <c r="Q598" s="164">
        <f t="shared" si="113"/>
        <v>39.759166666666673</v>
      </c>
      <c r="R598" s="260"/>
    </row>
    <row r="599" spans="1:18" s="35" customFormat="1" ht="21" x14ac:dyDescent="0.3">
      <c r="A599" s="138"/>
      <c r="B599" s="163" t="s">
        <v>76</v>
      </c>
      <c r="C599" s="161"/>
      <c r="D599" s="164">
        <f t="shared" ref="D599:Q599" si="114">SUM(D460,D482,D505,D526,D549,D571)/6</f>
        <v>61.514833333333321</v>
      </c>
      <c r="E599" s="164">
        <f t="shared" si="114"/>
        <v>60.013500000000001</v>
      </c>
      <c r="F599" s="164">
        <f t="shared" si="114"/>
        <v>215.3363333333333</v>
      </c>
      <c r="G599" s="164">
        <f t="shared" si="114"/>
        <v>1619.5751666666667</v>
      </c>
      <c r="H599" s="164">
        <f t="shared" si="114"/>
        <v>1.3921999999999999</v>
      </c>
      <c r="I599" s="164">
        <f t="shared" si="114"/>
        <v>123.78050000000002</v>
      </c>
      <c r="J599" s="164">
        <f t="shared" si="114"/>
        <v>1.3668333333333333</v>
      </c>
      <c r="K599" s="164">
        <f t="shared" si="114"/>
        <v>6.4448333333333325</v>
      </c>
      <c r="L599" s="164">
        <f t="shared" si="114"/>
        <v>632.26850000000002</v>
      </c>
      <c r="M599" s="164">
        <f t="shared" si="114"/>
        <v>840.80149999999992</v>
      </c>
      <c r="N599" s="164">
        <f t="shared" si="114"/>
        <v>214.55200000000002</v>
      </c>
      <c r="O599" s="164">
        <f t="shared" si="114"/>
        <v>14.200266666666666</v>
      </c>
      <c r="P599" s="164">
        <f t="shared" si="114"/>
        <v>1.29345</v>
      </c>
      <c r="Q599" s="164">
        <f t="shared" si="114"/>
        <v>49.615833333333335</v>
      </c>
      <c r="R599" s="260"/>
    </row>
    <row r="600" spans="1:18" s="35" customFormat="1" ht="21" x14ac:dyDescent="0.3">
      <c r="A600" s="138"/>
      <c r="B600" s="163"/>
      <c r="C600" s="161"/>
      <c r="D600" s="164"/>
      <c r="E600" s="164"/>
      <c r="F600" s="164"/>
      <c r="G600" s="258"/>
      <c r="H600" s="258"/>
      <c r="I600" s="258"/>
      <c r="J600" s="258"/>
      <c r="K600" s="258"/>
      <c r="L600" s="261"/>
      <c r="M600" s="261"/>
      <c r="N600" s="261"/>
      <c r="O600" s="258"/>
      <c r="P600" s="259"/>
      <c r="Q600" s="259"/>
      <c r="R600" s="260"/>
    </row>
    <row r="601" spans="1:18" s="35" customFormat="1" ht="21" x14ac:dyDescent="0.3">
      <c r="A601" s="138"/>
      <c r="B601" s="163" t="s">
        <v>80</v>
      </c>
      <c r="C601" s="161"/>
      <c r="D601" s="164"/>
      <c r="E601" s="164"/>
      <c r="F601" s="164"/>
      <c r="G601" s="258"/>
      <c r="H601" s="258"/>
      <c r="I601" s="258"/>
      <c r="J601" s="258"/>
      <c r="K601" s="258"/>
      <c r="L601" s="261"/>
      <c r="M601" s="261"/>
      <c r="N601" s="261"/>
      <c r="O601" s="258"/>
      <c r="P601" s="259"/>
      <c r="Q601" s="259"/>
      <c r="R601" s="260"/>
    </row>
    <row r="602" spans="1:18" s="35" customFormat="1" ht="21" x14ac:dyDescent="0.3">
      <c r="A602" s="138"/>
      <c r="B602" s="163" t="s">
        <v>81</v>
      </c>
      <c r="C602" s="161"/>
      <c r="D602" s="164">
        <f t="shared" ref="D602:Q602" si="115">(D582+D587+D592+D597)/4</f>
        <v>20.472708333333333</v>
      </c>
      <c r="E602" s="164">
        <f t="shared" si="115"/>
        <v>20.079625</v>
      </c>
      <c r="F602" s="164">
        <f t="shared" si="115"/>
        <v>73.820958333333337</v>
      </c>
      <c r="G602" s="164">
        <f t="shared" si="115"/>
        <v>561.41833333333341</v>
      </c>
      <c r="H602" s="164">
        <f t="shared" si="115"/>
        <v>0.40003333333333341</v>
      </c>
      <c r="I602" s="164">
        <f t="shared" si="115"/>
        <v>38.493708333333331</v>
      </c>
      <c r="J602" s="164">
        <f t="shared" si="115"/>
        <v>0.15866666666666668</v>
      </c>
      <c r="K602" s="164">
        <f t="shared" si="115"/>
        <v>1.4527083333333335</v>
      </c>
      <c r="L602" s="164">
        <f t="shared" si="115"/>
        <v>238.41066666666663</v>
      </c>
      <c r="M602" s="164">
        <f t="shared" si="115"/>
        <v>225.68212499999998</v>
      </c>
      <c r="N602" s="164">
        <f t="shared" si="115"/>
        <v>52.430458333333334</v>
      </c>
      <c r="O602" s="164">
        <f t="shared" si="115"/>
        <v>2.3412500000000001</v>
      </c>
      <c r="P602" s="164">
        <f t="shared" si="115"/>
        <v>0.39814166666666673</v>
      </c>
      <c r="Q602" s="164">
        <f t="shared" si="115"/>
        <v>11.726041666666669</v>
      </c>
      <c r="R602" s="260"/>
    </row>
    <row r="603" spans="1:18" s="35" customFormat="1" ht="21" x14ac:dyDescent="0.3">
      <c r="A603" s="138"/>
      <c r="B603" s="163" t="s">
        <v>82</v>
      </c>
      <c r="C603" s="161"/>
      <c r="D603" s="164">
        <f t="shared" ref="D603:Q604" si="116">(D583+D588+D593+D598)/4</f>
        <v>49.891062499999997</v>
      </c>
      <c r="E603" s="164">
        <f t="shared" si="116"/>
        <v>47.820437499999997</v>
      </c>
      <c r="F603" s="164">
        <f t="shared" si="116"/>
        <v>182.59654166666667</v>
      </c>
      <c r="G603" s="164">
        <f t="shared" si="116"/>
        <v>1351.6656666666668</v>
      </c>
      <c r="H603" s="164">
        <f t="shared" si="116"/>
        <v>1.0604416666666667</v>
      </c>
      <c r="I603" s="164">
        <f t="shared" si="116"/>
        <v>94.091958333333324</v>
      </c>
      <c r="J603" s="164">
        <f t="shared" si="116"/>
        <v>0.95421449999999997</v>
      </c>
      <c r="K603" s="164">
        <f t="shared" si="116"/>
        <v>5.3074166666666667</v>
      </c>
      <c r="L603" s="164">
        <f t="shared" si="116"/>
        <v>457.75333333333327</v>
      </c>
      <c r="M603" s="164">
        <f t="shared" si="116"/>
        <v>657.32179166666663</v>
      </c>
      <c r="N603" s="164">
        <f t="shared" si="116"/>
        <v>194.6871041666667</v>
      </c>
      <c r="O603" s="164">
        <f t="shared" si="116"/>
        <v>11.135508333333334</v>
      </c>
      <c r="P603" s="164">
        <f t="shared" si="116"/>
        <v>1.0398290625</v>
      </c>
      <c r="Q603" s="164">
        <f t="shared" si="116"/>
        <v>36.172979166666664</v>
      </c>
      <c r="R603" s="260"/>
    </row>
    <row r="604" spans="1:18" s="35" customFormat="1" ht="21" x14ac:dyDescent="0.3">
      <c r="A604" s="138"/>
      <c r="B604" s="163" t="s">
        <v>83</v>
      </c>
      <c r="C604" s="161"/>
      <c r="D604" s="164">
        <f t="shared" si="116"/>
        <v>59.844791666666666</v>
      </c>
      <c r="E604" s="164">
        <f t="shared" si="116"/>
        <v>57.937854166666668</v>
      </c>
      <c r="F604" s="164">
        <f t="shared" si="116"/>
        <v>223.0082083333333</v>
      </c>
      <c r="G604" s="164">
        <f t="shared" si="116"/>
        <v>1639.5353333333333</v>
      </c>
      <c r="H604" s="164">
        <f t="shared" si="116"/>
        <v>1.3234833333333333</v>
      </c>
      <c r="I604" s="164">
        <f t="shared" si="116"/>
        <v>105.09162500000001</v>
      </c>
      <c r="J604" s="164">
        <f t="shared" si="116"/>
        <v>1.1895895000000001</v>
      </c>
      <c r="K604" s="164">
        <f t="shared" si="116"/>
        <v>6.555041666666666</v>
      </c>
      <c r="L604" s="164">
        <f t="shared" si="116"/>
        <v>598.47058333333337</v>
      </c>
      <c r="M604" s="164">
        <f t="shared" si="116"/>
        <v>769.51687500000003</v>
      </c>
      <c r="N604" s="164">
        <f t="shared" si="116"/>
        <v>216.03314583333332</v>
      </c>
      <c r="O604" s="164">
        <f t="shared" si="116"/>
        <v>11.951425</v>
      </c>
      <c r="P604" s="164">
        <f t="shared" si="116"/>
        <v>1.2137457291666667</v>
      </c>
      <c r="Q604" s="164">
        <f t="shared" si="116"/>
        <v>43.143812499999996</v>
      </c>
      <c r="R604" s="260"/>
    </row>
    <row r="605" spans="1:18" x14ac:dyDescent="0.3">
      <c r="G605" s="81"/>
      <c r="H605" s="81"/>
      <c r="I605" s="81"/>
      <c r="J605" s="81"/>
      <c r="K605" s="81"/>
      <c r="L605" s="118"/>
      <c r="M605" s="118"/>
      <c r="N605" s="118"/>
      <c r="O605" s="81"/>
      <c r="P605" s="255"/>
      <c r="Q605" s="255"/>
      <c r="R605" s="256"/>
    </row>
    <row r="606" spans="1:18" x14ac:dyDescent="0.3">
      <c r="G606" s="81"/>
      <c r="H606" s="81"/>
      <c r="I606" s="81"/>
      <c r="J606" s="81"/>
      <c r="K606" s="81"/>
      <c r="L606" s="118"/>
      <c r="M606" s="118"/>
      <c r="N606" s="118"/>
      <c r="O606" s="81"/>
      <c r="P606" s="255"/>
      <c r="Q606" s="255"/>
      <c r="R606" s="256"/>
    </row>
    <row r="607" spans="1:18" x14ac:dyDescent="0.3">
      <c r="G607" s="81"/>
      <c r="H607" s="81"/>
      <c r="I607" s="81"/>
      <c r="J607" s="81"/>
      <c r="K607" s="81"/>
      <c r="L607" s="118"/>
      <c r="M607" s="118"/>
      <c r="N607" s="118"/>
      <c r="O607" s="81"/>
      <c r="P607" s="255"/>
      <c r="Q607" s="255"/>
      <c r="R607" s="256"/>
    </row>
    <row r="608" spans="1:18" x14ac:dyDescent="0.3">
      <c r="G608" s="81"/>
      <c r="H608" s="81"/>
      <c r="I608" s="81"/>
      <c r="J608" s="81"/>
      <c r="K608" s="81"/>
      <c r="L608" s="118"/>
      <c r="M608" s="118"/>
      <c r="N608" s="118"/>
      <c r="O608" s="81"/>
      <c r="P608" s="255"/>
      <c r="Q608" s="255"/>
      <c r="R608" s="256"/>
    </row>
    <row r="609" spans="7:18" x14ac:dyDescent="0.3">
      <c r="G609" s="81"/>
      <c r="H609" s="81"/>
      <c r="I609" s="81"/>
      <c r="J609" s="81"/>
      <c r="K609" s="81"/>
      <c r="L609" s="118"/>
      <c r="M609" s="118"/>
      <c r="N609" s="118"/>
      <c r="O609" s="81"/>
      <c r="P609" s="255"/>
      <c r="Q609" s="255"/>
      <c r="R609" s="256"/>
    </row>
    <row r="610" spans="7:18" x14ac:dyDescent="0.3">
      <c r="G610" s="81"/>
      <c r="H610" s="81"/>
      <c r="I610" s="81"/>
      <c r="J610" s="81"/>
      <c r="K610" s="81"/>
      <c r="L610" s="118"/>
      <c r="M610" s="118"/>
      <c r="N610" s="118"/>
      <c r="O610" s="81"/>
      <c r="P610" s="255"/>
      <c r="Q610" s="255"/>
      <c r="R610" s="256"/>
    </row>
    <row r="611" spans="7:18" x14ac:dyDescent="0.3">
      <c r="G611" s="81"/>
      <c r="H611" s="81"/>
      <c r="I611" s="81"/>
      <c r="J611" s="81"/>
      <c r="K611" s="81"/>
      <c r="L611" s="118"/>
      <c r="M611" s="118"/>
      <c r="N611" s="118"/>
      <c r="O611" s="81"/>
      <c r="P611" s="255"/>
      <c r="Q611" s="255"/>
      <c r="R611" s="256"/>
    </row>
    <row r="612" spans="7:18" x14ac:dyDescent="0.3">
      <c r="G612" s="81"/>
      <c r="H612" s="81"/>
      <c r="I612" s="81"/>
      <c r="J612" s="81"/>
      <c r="K612" s="81"/>
      <c r="L612" s="118"/>
      <c r="M612" s="118"/>
      <c r="N612" s="118"/>
      <c r="O612" s="81"/>
      <c r="P612" s="255"/>
      <c r="Q612" s="255"/>
      <c r="R612" s="256"/>
    </row>
    <row r="613" spans="7:18" x14ac:dyDescent="0.3">
      <c r="G613" s="81"/>
      <c r="H613" s="81"/>
      <c r="I613" s="81"/>
      <c r="J613" s="81"/>
      <c r="K613" s="81"/>
      <c r="L613" s="118"/>
      <c r="M613" s="118"/>
      <c r="N613" s="118"/>
      <c r="O613" s="81"/>
      <c r="P613" s="255"/>
      <c r="Q613" s="255"/>
      <c r="R613" s="256"/>
    </row>
    <row r="614" spans="7:18" x14ac:dyDescent="0.3">
      <c r="G614" s="81"/>
      <c r="H614" s="81"/>
      <c r="I614" s="81"/>
      <c r="J614" s="81"/>
      <c r="K614" s="81"/>
      <c r="L614" s="118"/>
      <c r="M614" s="118"/>
      <c r="N614" s="118"/>
      <c r="O614" s="81"/>
      <c r="P614" s="255"/>
      <c r="Q614" s="255"/>
      <c r="R614" s="256"/>
    </row>
    <row r="615" spans="7:18" x14ac:dyDescent="0.3">
      <c r="G615" s="81"/>
      <c r="H615" s="81"/>
      <c r="I615" s="81"/>
      <c r="J615" s="81"/>
      <c r="K615" s="81"/>
      <c r="L615" s="118"/>
      <c r="M615" s="118"/>
      <c r="N615" s="118"/>
      <c r="O615" s="81"/>
      <c r="P615" s="255"/>
      <c r="Q615" s="255"/>
      <c r="R615" s="256"/>
    </row>
    <row r="616" spans="7:18" x14ac:dyDescent="0.3">
      <c r="G616" s="81"/>
      <c r="H616" s="81"/>
      <c r="I616" s="81"/>
      <c r="J616" s="81"/>
      <c r="K616" s="81"/>
      <c r="L616" s="118"/>
      <c r="M616" s="118"/>
      <c r="N616" s="118"/>
      <c r="O616" s="81"/>
      <c r="P616" s="255"/>
      <c r="Q616" s="255"/>
      <c r="R616" s="256"/>
    </row>
    <row r="617" spans="7:18" x14ac:dyDescent="0.3">
      <c r="G617" s="81"/>
      <c r="H617" s="81"/>
      <c r="I617" s="81"/>
      <c r="J617" s="81"/>
      <c r="K617" s="81"/>
      <c r="L617" s="118"/>
      <c r="M617" s="118"/>
      <c r="N617" s="118"/>
      <c r="O617" s="81"/>
      <c r="P617" s="255"/>
      <c r="Q617" s="255"/>
      <c r="R617" s="256"/>
    </row>
    <row r="618" spans="7:18" x14ac:dyDescent="0.3">
      <c r="G618" s="81"/>
      <c r="H618" s="81"/>
      <c r="I618" s="81"/>
      <c r="J618" s="81"/>
      <c r="K618" s="81"/>
      <c r="L618" s="118"/>
      <c r="M618" s="118"/>
      <c r="N618" s="118"/>
      <c r="O618" s="81"/>
      <c r="P618" s="255"/>
      <c r="Q618" s="255"/>
      <c r="R618" s="256"/>
    </row>
    <row r="619" spans="7:18" x14ac:dyDescent="0.3">
      <c r="G619" s="81"/>
      <c r="H619" s="81"/>
      <c r="I619" s="81"/>
      <c r="J619" s="81"/>
      <c r="K619" s="81"/>
      <c r="L619" s="118"/>
      <c r="M619" s="118"/>
      <c r="N619" s="118"/>
      <c r="O619" s="81"/>
      <c r="P619" s="255"/>
      <c r="Q619" s="255"/>
      <c r="R619" s="256"/>
    </row>
    <row r="620" spans="7:18" x14ac:dyDescent="0.3">
      <c r="G620" s="81"/>
      <c r="H620" s="81"/>
      <c r="I620" s="81"/>
      <c r="J620" s="81"/>
      <c r="K620" s="81"/>
      <c r="L620" s="118"/>
      <c r="M620" s="118"/>
      <c r="N620" s="118"/>
      <c r="O620" s="81"/>
      <c r="P620" s="255"/>
      <c r="Q620" s="255"/>
      <c r="R620" s="256"/>
    </row>
    <row r="621" spans="7:18" x14ac:dyDescent="0.3">
      <c r="G621" s="81"/>
      <c r="H621" s="81"/>
      <c r="I621" s="81"/>
      <c r="J621" s="81"/>
      <c r="K621" s="81"/>
      <c r="L621" s="118"/>
      <c r="M621" s="118"/>
      <c r="N621" s="118"/>
      <c r="O621" s="81"/>
      <c r="P621" s="255"/>
      <c r="Q621" s="255"/>
      <c r="R621" s="256"/>
    </row>
    <row r="622" spans="7:18" x14ac:dyDescent="0.3">
      <c r="G622" s="81"/>
      <c r="H622" s="81"/>
      <c r="I622" s="81"/>
      <c r="J622" s="81"/>
      <c r="K622" s="81"/>
      <c r="L622" s="118"/>
      <c r="M622" s="118"/>
      <c r="N622" s="118"/>
      <c r="O622" s="81"/>
      <c r="P622" s="255"/>
      <c r="Q622" s="255"/>
      <c r="R622" s="256"/>
    </row>
    <row r="623" spans="7:18" x14ac:dyDescent="0.3">
      <c r="G623" s="81"/>
      <c r="H623" s="81"/>
      <c r="I623" s="81"/>
      <c r="J623" s="81"/>
      <c r="K623" s="81"/>
      <c r="L623" s="118"/>
      <c r="M623" s="118"/>
      <c r="N623" s="118"/>
      <c r="O623" s="81"/>
      <c r="P623" s="255"/>
      <c r="Q623" s="255"/>
      <c r="R623" s="256"/>
    </row>
    <row r="624" spans="7:18" x14ac:dyDescent="0.3">
      <c r="G624" s="81"/>
      <c r="H624" s="81"/>
      <c r="I624" s="81"/>
      <c r="J624" s="81"/>
      <c r="K624" s="81"/>
      <c r="L624" s="118"/>
      <c r="M624" s="118"/>
      <c r="N624" s="118"/>
      <c r="O624" s="81"/>
      <c r="P624" s="255"/>
      <c r="Q624" s="255"/>
      <c r="R624" s="256"/>
    </row>
    <row r="625" spans="7:18" x14ac:dyDescent="0.3">
      <c r="G625" s="81"/>
      <c r="H625" s="81"/>
      <c r="I625" s="81"/>
      <c r="J625" s="81"/>
      <c r="K625" s="81"/>
      <c r="L625" s="118"/>
      <c r="M625" s="118"/>
      <c r="N625" s="118"/>
      <c r="O625" s="81"/>
      <c r="P625" s="255"/>
      <c r="Q625" s="255"/>
      <c r="R625" s="256"/>
    </row>
    <row r="626" spans="7:18" x14ac:dyDescent="0.3">
      <c r="G626" s="81"/>
      <c r="H626" s="81"/>
      <c r="I626" s="81"/>
      <c r="J626" s="81"/>
      <c r="K626" s="81"/>
      <c r="L626" s="118"/>
      <c r="M626" s="118"/>
      <c r="N626" s="118"/>
      <c r="O626" s="81"/>
      <c r="P626" s="255"/>
      <c r="Q626" s="255"/>
      <c r="R626" s="256"/>
    </row>
    <row r="627" spans="7:18" x14ac:dyDescent="0.3">
      <c r="G627" s="81"/>
      <c r="H627" s="81"/>
      <c r="I627" s="81"/>
      <c r="J627" s="81"/>
      <c r="K627" s="81"/>
      <c r="L627" s="118"/>
      <c r="M627" s="118"/>
      <c r="N627" s="118"/>
      <c r="O627" s="81"/>
      <c r="P627" s="255"/>
      <c r="Q627" s="255"/>
      <c r="R627" s="256"/>
    </row>
    <row r="628" spans="7:18" x14ac:dyDescent="0.3">
      <c r="G628" s="81"/>
      <c r="H628" s="81"/>
      <c r="I628" s="81"/>
      <c r="J628" s="81"/>
      <c r="K628" s="81"/>
      <c r="L628" s="118"/>
      <c r="M628" s="118"/>
      <c r="N628" s="118"/>
      <c r="O628" s="81"/>
      <c r="P628" s="255"/>
      <c r="Q628" s="255"/>
      <c r="R628" s="256"/>
    </row>
    <row r="629" spans="7:18" x14ac:dyDescent="0.3">
      <c r="G629" s="81"/>
      <c r="H629" s="81"/>
      <c r="I629" s="81"/>
      <c r="J629" s="81"/>
      <c r="K629" s="81"/>
      <c r="L629" s="118"/>
      <c r="M629" s="118"/>
      <c r="N629" s="118"/>
      <c r="O629" s="81"/>
      <c r="P629" s="255"/>
      <c r="Q629" s="255"/>
      <c r="R629" s="256"/>
    </row>
    <row r="630" spans="7:18" x14ac:dyDescent="0.3">
      <c r="G630" s="81"/>
      <c r="H630" s="81"/>
      <c r="I630" s="81"/>
      <c r="J630" s="81"/>
      <c r="K630" s="81"/>
      <c r="L630" s="118"/>
      <c r="M630" s="118"/>
      <c r="N630" s="118"/>
      <c r="O630" s="81"/>
      <c r="P630" s="255"/>
      <c r="Q630" s="255"/>
      <c r="R630" s="256"/>
    </row>
    <row r="631" spans="7:18" x14ac:dyDescent="0.3">
      <c r="G631" s="81"/>
      <c r="H631" s="81"/>
      <c r="I631" s="81"/>
      <c r="J631" s="81"/>
      <c r="K631" s="81"/>
      <c r="L631" s="118"/>
      <c r="M631" s="118"/>
      <c r="N631" s="118"/>
      <c r="O631" s="81"/>
      <c r="P631" s="255"/>
      <c r="Q631" s="255"/>
      <c r="R631" s="256"/>
    </row>
    <row r="632" spans="7:18" x14ac:dyDescent="0.3">
      <c r="G632" s="81"/>
      <c r="H632" s="81"/>
      <c r="I632" s="81"/>
      <c r="J632" s="81"/>
      <c r="K632" s="81"/>
      <c r="L632" s="118"/>
      <c r="M632" s="118"/>
      <c r="N632" s="118"/>
      <c r="O632" s="81"/>
      <c r="P632" s="255"/>
      <c r="Q632" s="255"/>
      <c r="R632" s="256"/>
    </row>
    <row r="633" spans="7:18" x14ac:dyDescent="0.3">
      <c r="G633" s="81"/>
      <c r="H633" s="81"/>
      <c r="I633" s="81"/>
      <c r="J633" s="81"/>
      <c r="K633" s="81"/>
      <c r="L633" s="118"/>
      <c r="M633" s="118"/>
      <c r="N633" s="118"/>
      <c r="O633" s="81"/>
      <c r="P633" s="255"/>
      <c r="Q633" s="255"/>
      <c r="R633" s="256"/>
    </row>
    <row r="634" spans="7:18" x14ac:dyDescent="0.3">
      <c r="G634" s="81"/>
      <c r="H634" s="81"/>
      <c r="I634" s="81"/>
      <c r="J634" s="81"/>
      <c r="K634" s="81"/>
      <c r="L634" s="118"/>
      <c r="M634" s="118"/>
      <c r="N634" s="118"/>
      <c r="O634" s="81"/>
      <c r="P634" s="255"/>
      <c r="Q634" s="255"/>
      <c r="R634" s="256"/>
    </row>
    <row r="635" spans="7:18" x14ac:dyDescent="0.3">
      <c r="G635" s="81"/>
      <c r="H635" s="81"/>
      <c r="I635" s="81"/>
      <c r="J635" s="81"/>
      <c r="K635" s="81"/>
      <c r="L635" s="118"/>
      <c r="M635" s="118"/>
      <c r="N635" s="118"/>
      <c r="O635" s="81"/>
      <c r="P635" s="255"/>
      <c r="Q635" s="255"/>
      <c r="R635" s="256"/>
    </row>
    <row r="636" spans="7:18" x14ac:dyDescent="0.3">
      <c r="G636" s="81"/>
      <c r="H636" s="81"/>
      <c r="I636" s="81"/>
      <c r="J636" s="81"/>
      <c r="K636" s="81"/>
      <c r="L636" s="118"/>
      <c r="M636" s="118"/>
      <c r="N636" s="118"/>
      <c r="O636" s="81"/>
      <c r="P636" s="255"/>
      <c r="Q636" s="255"/>
      <c r="R636" s="256"/>
    </row>
    <row r="637" spans="7:18" x14ac:dyDescent="0.3">
      <c r="G637" s="81"/>
      <c r="H637" s="81"/>
      <c r="I637" s="81"/>
      <c r="J637" s="81"/>
      <c r="K637" s="81"/>
      <c r="L637" s="118"/>
      <c r="M637" s="118"/>
      <c r="N637" s="118"/>
      <c r="O637" s="81"/>
      <c r="P637" s="255"/>
      <c r="Q637" s="255"/>
      <c r="R637" s="256"/>
    </row>
    <row r="638" spans="7:18" x14ac:dyDescent="0.3">
      <c r="G638" s="81"/>
      <c r="H638" s="81"/>
      <c r="I638" s="81"/>
      <c r="J638" s="81"/>
      <c r="K638" s="81"/>
      <c r="L638" s="118"/>
      <c r="M638" s="118"/>
      <c r="N638" s="118"/>
      <c r="O638" s="81"/>
      <c r="P638" s="255"/>
      <c r="Q638" s="255"/>
      <c r="R638" s="256"/>
    </row>
    <row r="639" spans="7:18" x14ac:dyDescent="0.3">
      <c r="G639" s="81"/>
      <c r="H639" s="81"/>
      <c r="I639" s="81"/>
      <c r="J639" s="81"/>
      <c r="K639" s="81"/>
      <c r="L639" s="118"/>
      <c r="M639" s="118"/>
      <c r="N639" s="118"/>
      <c r="O639" s="81"/>
      <c r="P639" s="255"/>
      <c r="Q639" s="255"/>
      <c r="R639" s="256"/>
    </row>
    <row r="640" spans="7:18" x14ac:dyDescent="0.3">
      <c r="G640" s="81"/>
      <c r="H640" s="81"/>
      <c r="I640" s="81"/>
      <c r="J640" s="81"/>
      <c r="K640" s="81"/>
      <c r="L640" s="118"/>
      <c r="M640" s="118"/>
      <c r="N640" s="118"/>
      <c r="O640" s="81"/>
      <c r="P640" s="255"/>
      <c r="Q640" s="255"/>
      <c r="R640" s="256"/>
    </row>
    <row r="641" spans="6:18" x14ac:dyDescent="0.3">
      <c r="G641" s="81"/>
      <c r="H641" s="81"/>
      <c r="I641" s="81"/>
      <c r="J641" s="81"/>
      <c r="K641" s="81"/>
      <c r="L641" s="118"/>
      <c r="M641" s="118"/>
      <c r="N641" s="118"/>
      <c r="O641" s="81"/>
      <c r="P641" s="255"/>
      <c r="Q641" s="255"/>
      <c r="R641" s="256"/>
    </row>
    <row r="642" spans="6:18" x14ac:dyDescent="0.3">
      <c r="G642" s="81"/>
      <c r="H642" s="81"/>
      <c r="I642" s="81"/>
      <c r="J642" s="81"/>
      <c r="K642" s="81"/>
      <c r="L642" s="118"/>
      <c r="M642" s="118"/>
      <c r="N642" s="118"/>
      <c r="O642" s="81"/>
      <c r="P642" s="255"/>
      <c r="Q642" s="255"/>
      <c r="R642" s="256"/>
    </row>
    <row r="643" spans="6:18" x14ac:dyDescent="0.3">
      <c r="G643" s="81"/>
      <c r="H643" s="81"/>
      <c r="I643" s="81"/>
      <c r="J643" s="81"/>
      <c r="K643" s="81"/>
      <c r="L643" s="118"/>
      <c r="M643" s="118"/>
      <c r="N643" s="118"/>
      <c r="O643" s="81"/>
      <c r="P643" s="255"/>
      <c r="Q643" s="255"/>
      <c r="R643" s="256"/>
    </row>
    <row r="644" spans="6:18" x14ac:dyDescent="0.3">
      <c r="G644" s="81"/>
      <c r="H644" s="81"/>
      <c r="I644" s="81"/>
      <c r="J644" s="81"/>
      <c r="K644" s="81"/>
      <c r="L644" s="118"/>
      <c r="M644" s="118"/>
      <c r="N644" s="118"/>
      <c r="O644" s="81"/>
      <c r="P644" s="255"/>
      <c r="Q644" s="255"/>
      <c r="R644" s="256"/>
    </row>
    <row r="645" spans="6:18" x14ac:dyDescent="0.3">
      <c r="G645" s="81"/>
      <c r="H645" s="81"/>
      <c r="I645" s="81"/>
      <c r="J645" s="81"/>
      <c r="K645" s="81"/>
      <c r="L645" s="118"/>
      <c r="M645" s="118"/>
      <c r="N645" s="118"/>
      <c r="O645" s="81"/>
      <c r="P645" s="255"/>
      <c r="Q645" s="255"/>
      <c r="R645" s="256"/>
    </row>
    <row r="646" spans="6:18" x14ac:dyDescent="0.3">
      <c r="G646" s="81"/>
      <c r="H646" s="81"/>
      <c r="I646" s="81"/>
      <c r="J646" s="81"/>
      <c r="K646" s="81"/>
      <c r="L646" s="118"/>
      <c r="M646" s="118"/>
      <c r="N646" s="118"/>
      <c r="O646" s="81"/>
      <c r="P646" s="255"/>
      <c r="Q646" s="255"/>
      <c r="R646" s="256"/>
    </row>
    <row r="647" spans="6:18" x14ac:dyDescent="0.3">
      <c r="G647" s="81"/>
      <c r="H647" s="81"/>
      <c r="I647" s="81"/>
      <c r="J647" s="81"/>
      <c r="K647" s="81"/>
      <c r="L647" s="118"/>
      <c r="M647" s="118"/>
      <c r="N647" s="118"/>
      <c r="O647" s="81"/>
      <c r="P647" s="255"/>
      <c r="Q647" s="255"/>
      <c r="R647" s="256"/>
    </row>
    <row r="648" spans="6:18" x14ac:dyDescent="0.3">
      <c r="G648" s="81"/>
      <c r="H648" s="81"/>
      <c r="I648" s="81"/>
      <c r="J648" s="81"/>
      <c r="K648" s="81"/>
      <c r="L648" s="118"/>
      <c r="M648" s="118"/>
      <c r="N648" s="118"/>
      <c r="O648" s="81"/>
      <c r="P648" s="255"/>
      <c r="Q648" s="255"/>
      <c r="R648" s="256"/>
    </row>
    <row r="649" spans="6:18" x14ac:dyDescent="0.3">
      <c r="G649" s="81"/>
      <c r="H649" s="81"/>
      <c r="I649" s="81"/>
      <c r="J649" s="81"/>
      <c r="K649" s="81"/>
      <c r="L649" s="118"/>
      <c r="M649" s="118"/>
      <c r="N649" s="118"/>
      <c r="O649" s="81"/>
      <c r="P649" s="255"/>
      <c r="Q649" s="255"/>
      <c r="R649" s="256"/>
    </row>
    <row r="650" spans="6:18" x14ac:dyDescent="0.3">
      <c r="F650" s="81"/>
      <c r="G650" s="81"/>
      <c r="H650" s="81"/>
      <c r="I650" s="81"/>
      <c r="J650" s="81"/>
      <c r="K650" s="81"/>
      <c r="L650" s="118"/>
      <c r="M650" s="118"/>
      <c r="N650" s="118"/>
      <c r="O650" s="81"/>
      <c r="P650" s="255"/>
      <c r="Q650" s="255"/>
      <c r="R650" s="256"/>
    </row>
    <row r="651" spans="6:18" x14ac:dyDescent="0.3">
      <c r="F651" s="81"/>
      <c r="G651" s="81"/>
      <c r="H651" s="81"/>
      <c r="I651" s="81"/>
      <c r="J651" s="81"/>
      <c r="K651" s="81"/>
      <c r="L651" s="118"/>
      <c r="M651" s="118"/>
      <c r="N651" s="118"/>
      <c r="O651" s="81"/>
      <c r="P651" s="255"/>
      <c r="Q651" s="255"/>
    </row>
    <row r="652" spans="6:18" x14ac:dyDescent="0.3">
      <c r="F652" s="81"/>
      <c r="G652" s="81"/>
      <c r="H652" s="81"/>
      <c r="I652" s="81"/>
      <c r="J652" s="81"/>
      <c r="K652" s="81"/>
      <c r="L652" s="118"/>
      <c r="M652" s="118"/>
      <c r="N652" s="118"/>
      <c r="O652" s="81"/>
      <c r="P652" s="255"/>
      <c r="Q652" s="255"/>
    </row>
    <row r="653" spans="6:18" x14ac:dyDescent="0.3">
      <c r="F653" s="81"/>
      <c r="G653" s="81"/>
      <c r="H653" s="81"/>
      <c r="I653" s="81"/>
      <c r="J653" s="81"/>
      <c r="K653" s="81"/>
      <c r="L653" s="118"/>
      <c r="M653" s="118"/>
      <c r="N653" s="118"/>
      <c r="O653" s="81"/>
      <c r="P653" s="255"/>
      <c r="Q653" s="255"/>
    </row>
    <row r="654" spans="6:18" x14ac:dyDescent="0.3">
      <c r="F654" s="81"/>
      <c r="G654" s="81"/>
      <c r="H654" s="81"/>
      <c r="I654" s="81"/>
      <c r="J654" s="81"/>
      <c r="K654" s="81"/>
      <c r="L654" s="118"/>
      <c r="M654" s="118"/>
      <c r="N654" s="118"/>
      <c r="O654" s="81"/>
      <c r="P654" s="255"/>
      <c r="Q654" s="255"/>
    </row>
    <row r="655" spans="6:18" x14ac:dyDescent="0.3">
      <c r="F655" s="81"/>
      <c r="G655" s="81"/>
      <c r="H655" s="81"/>
      <c r="I655" s="81"/>
      <c r="J655" s="81"/>
      <c r="K655" s="81"/>
      <c r="L655" s="118"/>
      <c r="M655" s="118"/>
      <c r="N655" s="118"/>
      <c r="O655" s="81"/>
      <c r="P655" s="255"/>
      <c r="Q655" s="255"/>
    </row>
    <row r="656" spans="6:18" x14ac:dyDescent="0.3">
      <c r="F656" s="81"/>
      <c r="G656" s="81"/>
      <c r="H656" s="81"/>
      <c r="I656" s="81"/>
      <c r="J656" s="81"/>
      <c r="K656" s="81"/>
      <c r="L656" s="118"/>
      <c r="M656" s="118"/>
      <c r="N656" s="118"/>
      <c r="O656" s="81"/>
      <c r="P656" s="255"/>
      <c r="Q656" s="255"/>
    </row>
    <row r="657" spans="6:17" x14ac:dyDescent="0.3">
      <c r="F657" s="81"/>
      <c r="G657" s="81"/>
      <c r="H657" s="81"/>
      <c r="I657" s="81"/>
      <c r="J657" s="81"/>
      <c r="K657" s="81"/>
      <c r="L657" s="118"/>
      <c r="M657" s="118"/>
      <c r="N657" s="118"/>
      <c r="O657" s="81"/>
      <c r="P657" s="255"/>
      <c r="Q657" s="255"/>
    </row>
    <row r="658" spans="6:17" x14ac:dyDescent="0.3">
      <c r="F658" s="81"/>
      <c r="G658" s="81"/>
      <c r="H658" s="81"/>
      <c r="I658" s="81"/>
      <c r="J658" s="81"/>
      <c r="K658" s="81"/>
      <c r="L658" s="118"/>
      <c r="M658" s="118"/>
      <c r="N658" s="118"/>
      <c r="O658" s="81"/>
      <c r="P658" s="255"/>
      <c r="Q658" s="255"/>
    </row>
    <row r="659" spans="6:17" x14ac:dyDescent="0.3">
      <c r="F659" s="81"/>
      <c r="G659" s="81"/>
      <c r="H659" s="81"/>
      <c r="I659" s="81"/>
      <c r="J659" s="81"/>
      <c r="K659" s="81"/>
      <c r="L659" s="118"/>
      <c r="M659" s="118"/>
      <c r="N659" s="118"/>
      <c r="O659" s="81"/>
      <c r="P659" s="255"/>
      <c r="Q659" s="255"/>
    </row>
    <row r="660" spans="6:17" x14ac:dyDescent="0.3">
      <c r="F660" s="81"/>
      <c r="G660" s="81"/>
      <c r="H660" s="81"/>
      <c r="I660" s="81"/>
      <c r="J660" s="81"/>
      <c r="K660" s="81"/>
      <c r="L660" s="118"/>
      <c r="M660" s="118"/>
      <c r="N660" s="118"/>
      <c r="O660" s="81"/>
      <c r="P660" s="255"/>
      <c r="Q660" s="255"/>
    </row>
    <row r="661" spans="6:17" x14ac:dyDescent="0.3">
      <c r="F661" s="81"/>
      <c r="G661" s="81"/>
      <c r="H661" s="81"/>
      <c r="I661" s="81"/>
      <c r="J661" s="81"/>
      <c r="K661" s="81"/>
      <c r="L661" s="118"/>
      <c r="M661" s="118"/>
      <c r="N661" s="118"/>
      <c r="O661" s="81"/>
      <c r="P661" s="255"/>
      <c r="Q661" s="255"/>
    </row>
    <row r="662" spans="6:17" x14ac:dyDescent="0.3">
      <c r="F662" s="81"/>
      <c r="G662" s="81"/>
      <c r="H662" s="81"/>
      <c r="I662" s="81"/>
      <c r="J662" s="81"/>
      <c r="K662" s="81"/>
      <c r="L662" s="118"/>
      <c r="M662" s="118"/>
      <c r="N662" s="118"/>
      <c r="O662" s="81"/>
      <c r="P662" s="255"/>
      <c r="Q662" s="255"/>
    </row>
    <row r="663" spans="6:17" x14ac:dyDescent="0.3">
      <c r="F663" s="81"/>
      <c r="G663" s="81"/>
      <c r="H663" s="81"/>
      <c r="I663" s="81"/>
      <c r="J663" s="81"/>
      <c r="K663" s="81"/>
      <c r="L663" s="118"/>
      <c r="M663" s="118"/>
      <c r="N663" s="118"/>
      <c r="O663" s="81"/>
      <c r="P663" s="255"/>
      <c r="Q663" s="255"/>
    </row>
    <row r="664" spans="6:17" x14ac:dyDescent="0.3">
      <c r="F664" s="81"/>
      <c r="G664" s="81"/>
      <c r="H664" s="81"/>
      <c r="I664" s="81"/>
      <c r="J664" s="81"/>
      <c r="K664" s="81"/>
      <c r="L664" s="118"/>
      <c r="M664" s="118"/>
      <c r="N664" s="118"/>
      <c r="O664" s="81"/>
      <c r="P664" s="255"/>
      <c r="Q664" s="255"/>
    </row>
    <row r="665" spans="6:17" x14ac:dyDescent="0.3">
      <c r="F665" s="81"/>
      <c r="G665" s="81"/>
      <c r="H665" s="81"/>
      <c r="I665" s="81"/>
      <c r="J665" s="81"/>
      <c r="K665" s="81"/>
      <c r="L665" s="118"/>
      <c r="M665" s="118"/>
      <c r="N665" s="118"/>
      <c r="O665" s="81"/>
      <c r="P665" s="255"/>
      <c r="Q665" s="255"/>
    </row>
    <row r="666" spans="6:17" x14ac:dyDescent="0.3">
      <c r="F666" s="81"/>
      <c r="G666" s="81"/>
      <c r="H666" s="81"/>
      <c r="I666" s="81"/>
      <c r="J666" s="81"/>
      <c r="K666" s="81"/>
      <c r="L666" s="118"/>
      <c r="M666" s="118"/>
      <c r="N666" s="118"/>
      <c r="O666" s="81"/>
      <c r="P666" s="255"/>
      <c r="Q666" s="255"/>
    </row>
    <row r="667" spans="6:17" x14ac:dyDescent="0.3">
      <c r="F667" s="81"/>
      <c r="G667" s="81"/>
      <c r="H667" s="81"/>
      <c r="I667" s="81"/>
      <c r="J667" s="81"/>
      <c r="K667" s="81"/>
      <c r="L667" s="118"/>
      <c r="M667" s="118"/>
      <c r="N667" s="118"/>
      <c r="O667" s="81"/>
      <c r="P667" s="255"/>
      <c r="Q667" s="255"/>
    </row>
    <row r="668" spans="6:17" x14ac:dyDescent="0.3">
      <c r="F668" s="81"/>
      <c r="G668" s="81"/>
      <c r="H668" s="81"/>
      <c r="I668" s="81"/>
      <c r="J668" s="81"/>
      <c r="K668" s="81"/>
      <c r="L668" s="118"/>
      <c r="M668" s="118"/>
      <c r="N668" s="118"/>
      <c r="O668" s="81"/>
      <c r="P668" s="255"/>
      <c r="Q668" s="255"/>
    </row>
    <row r="669" spans="6:17" x14ac:dyDescent="0.3">
      <c r="F669" s="81"/>
      <c r="G669" s="81"/>
      <c r="H669" s="81"/>
      <c r="I669" s="81"/>
      <c r="J669" s="81"/>
      <c r="K669" s="81"/>
      <c r="L669" s="118"/>
      <c r="M669" s="118"/>
      <c r="N669" s="118"/>
      <c r="O669" s="81"/>
      <c r="P669" s="255"/>
      <c r="Q669" s="255"/>
    </row>
    <row r="670" spans="6:17" x14ac:dyDescent="0.3">
      <c r="F670" s="81"/>
      <c r="G670" s="81"/>
      <c r="H670" s="81"/>
      <c r="I670" s="81"/>
      <c r="J670" s="81"/>
      <c r="K670" s="81"/>
      <c r="L670" s="118"/>
      <c r="M670" s="118"/>
      <c r="N670" s="118"/>
      <c r="O670" s="81"/>
      <c r="P670" s="255"/>
      <c r="Q670" s="255"/>
    </row>
    <row r="671" spans="6:17" x14ac:dyDescent="0.3">
      <c r="F671" s="81"/>
      <c r="G671" s="81"/>
      <c r="H671" s="81"/>
      <c r="I671" s="81"/>
      <c r="J671" s="81"/>
      <c r="K671" s="81"/>
      <c r="L671" s="118"/>
      <c r="M671" s="118"/>
      <c r="N671" s="118"/>
      <c r="O671" s="81"/>
      <c r="P671" s="255"/>
      <c r="Q671" s="255"/>
    </row>
    <row r="672" spans="6:17" x14ac:dyDescent="0.3">
      <c r="F672" s="81"/>
      <c r="G672" s="81"/>
      <c r="H672" s="81"/>
      <c r="I672" s="81"/>
      <c r="J672" s="81"/>
      <c r="K672" s="81"/>
      <c r="L672" s="118"/>
      <c r="M672" s="118"/>
      <c r="N672" s="118"/>
      <c r="O672" s="81"/>
      <c r="P672" s="255"/>
      <c r="Q672" s="255"/>
    </row>
    <row r="673" spans="6:17" x14ac:dyDescent="0.3">
      <c r="F673" s="81"/>
      <c r="G673" s="81"/>
      <c r="H673" s="81"/>
      <c r="I673" s="81"/>
      <c r="J673" s="81"/>
      <c r="K673" s="81"/>
      <c r="L673" s="118"/>
      <c r="M673" s="118"/>
      <c r="N673" s="118"/>
      <c r="O673" s="81"/>
      <c r="P673" s="255"/>
      <c r="Q673" s="255"/>
    </row>
    <row r="674" spans="6:17" x14ac:dyDescent="0.3">
      <c r="F674" s="81"/>
      <c r="G674" s="81"/>
      <c r="H674" s="81"/>
      <c r="I674" s="81"/>
      <c r="J674" s="81"/>
      <c r="K674" s="81"/>
      <c r="L674" s="118"/>
      <c r="M674" s="118"/>
      <c r="N674" s="118"/>
      <c r="O674" s="81"/>
      <c r="P674" s="255"/>
      <c r="Q674" s="255"/>
    </row>
    <row r="675" spans="6:17" x14ac:dyDescent="0.3">
      <c r="F675" s="81"/>
      <c r="G675" s="81"/>
      <c r="H675" s="81"/>
      <c r="I675" s="81"/>
      <c r="J675" s="81"/>
      <c r="K675" s="81"/>
      <c r="L675" s="118"/>
      <c r="M675" s="118"/>
      <c r="N675" s="118"/>
      <c r="O675" s="81"/>
      <c r="P675" s="255"/>
      <c r="Q675" s="255"/>
    </row>
    <row r="676" spans="6:17" x14ac:dyDescent="0.3">
      <c r="F676" s="81"/>
      <c r="G676" s="81"/>
      <c r="H676" s="81"/>
      <c r="I676" s="81"/>
      <c r="J676" s="81"/>
      <c r="K676" s="81"/>
      <c r="L676" s="118"/>
      <c r="M676" s="118"/>
      <c r="N676" s="118"/>
      <c r="O676" s="81"/>
      <c r="P676" s="255"/>
      <c r="Q676" s="255"/>
    </row>
    <row r="677" spans="6:17" x14ac:dyDescent="0.3">
      <c r="F677" s="81"/>
      <c r="G677" s="81"/>
      <c r="H677" s="81"/>
      <c r="I677" s="81"/>
      <c r="J677" s="81"/>
      <c r="K677" s="81"/>
      <c r="L677" s="118"/>
      <c r="M677" s="118"/>
      <c r="N677" s="118"/>
      <c r="O677" s="81"/>
      <c r="P677" s="255"/>
      <c r="Q677" s="255"/>
    </row>
    <row r="678" spans="6:17" x14ac:dyDescent="0.3">
      <c r="F678" s="81"/>
      <c r="G678" s="81"/>
      <c r="H678" s="81"/>
      <c r="I678" s="81"/>
      <c r="J678" s="81"/>
      <c r="K678" s="81"/>
      <c r="L678" s="118"/>
      <c r="M678" s="118"/>
      <c r="N678" s="118"/>
      <c r="O678" s="81"/>
      <c r="P678" s="255"/>
      <c r="Q678" s="255"/>
    </row>
    <row r="679" spans="6:17" x14ac:dyDescent="0.3">
      <c r="F679" s="81"/>
      <c r="G679" s="81"/>
      <c r="H679" s="81"/>
      <c r="I679" s="81"/>
      <c r="J679" s="81"/>
      <c r="K679" s="81"/>
      <c r="L679" s="118"/>
      <c r="M679" s="118"/>
      <c r="N679" s="118"/>
      <c r="O679" s="81"/>
      <c r="P679" s="255"/>
      <c r="Q679" s="255"/>
    </row>
    <row r="680" spans="6:17" x14ac:dyDescent="0.3">
      <c r="F680" s="81"/>
      <c r="G680" s="81"/>
      <c r="H680" s="81"/>
      <c r="I680" s="81"/>
      <c r="J680" s="81"/>
      <c r="K680" s="81"/>
      <c r="L680" s="118"/>
      <c r="M680" s="118"/>
      <c r="N680" s="118"/>
      <c r="O680" s="81"/>
      <c r="P680" s="255"/>
      <c r="Q680" s="255"/>
    </row>
    <row r="681" spans="6:17" x14ac:dyDescent="0.3">
      <c r="F681" s="81"/>
      <c r="G681" s="81"/>
      <c r="H681" s="81"/>
      <c r="I681" s="81"/>
      <c r="J681" s="81"/>
      <c r="K681" s="81"/>
      <c r="L681" s="118"/>
      <c r="M681" s="118"/>
      <c r="N681" s="118"/>
      <c r="O681" s="81"/>
      <c r="P681" s="255"/>
      <c r="Q681" s="255"/>
    </row>
    <row r="682" spans="6:17" x14ac:dyDescent="0.3">
      <c r="F682" s="81"/>
      <c r="G682" s="81"/>
      <c r="H682" s="81"/>
      <c r="I682" s="81"/>
      <c r="J682" s="81"/>
      <c r="K682" s="81"/>
      <c r="L682" s="118"/>
      <c r="M682" s="118"/>
      <c r="N682" s="118"/>
      <c r="O682" s="81"/>
      <c r="P682" s="255"/>
      <c r="Q682" s="255"/>
    </row>
    <row r="683" spans="6:17" x14ac:dyDescent="0.3">
      <c r="F683" s="81"/>
      <c r="G683" s="81"/>
      <c r="H683" s="81"/>
      <c r="I683" s="81"/>
      <c r="J683" s="81"/>
      <c r="K683" s="81"/>
      <c r="L683" s="118"/>
      <c r="M683" s="118"/>
      <c r="N683" s="118"/>
      <c r="O683" s="81"/>
      <c r="P683" s="255"/>
      <c r="Q683" s="255"/>
    </row>
    <row r="684" spans="6:17" x14ac:dyDescent="0.3">
      <c r="F684" s="81"/>
      <c r="G684" s="81"/>
      <c r="H684" s="81"/>
      <c r="I684" s="81"/>
      <c r="J684" s="81"/>
      <c r="K684" s="81"/>
      <c r="L684" s="118"/>
      <c r="M684" s="118"/>
      <c r="N684" s="118"/>
      <c r="O684" s="81"/>
      <c r="P684" s="255"/>
      <c r="Q684" s="255"/>
    </row>
    <row r="685" spans="6:17" x14ac:dyDescent="0.3">
      <c r="F685" s="81"/>
      <c r="G685" s="81"/>
      <c r="H685" s="81"/>
      <c r="I685" s="81"/>
      <c r="J685" s="81"/>
      <c r="K685" s="81"/>
      <c r="L685" s="118"/>
      <c r="M685" s="118"/>
      <c r="N685" s="118"/>
      <c r="O685" s="81"/>
      <c r="P685" s="255"/>
      <c r="Q685" s="255"/>
    </row>
    <row r="686" spans="6:17" x14ac:dyDescent="0.3">
      <c r="F686" s="81"/>
      <c r="G686" s="81"/>
      <c r="H686" s="81"/>
      <c r="I686" s="81"/>
      <c r="J686" s="81"/>
      <c r="K686" s="81"/>
      <c r="L686" s="118"/>
      <c r="M686" s="118"/>
      <c r="N686" s="118"/>
      <c r="O686" s="81"/>
      <c r="P686" s="255"/>
      <c r="Q686" s="255"/>
    </row>
    <row r="687" spans="6:17" x14ac:dyDescent="0.3">
      <c r="F687" s="81"/>
      <c r="G687" s="81"/>
      <c r="H687" s="81"/>
      <c r="I687" s="81"/>
      <c r="J687" s="81"/>
      <c r="K687" s="81"/>
      <c r="L687" s="118"/>
      <c r="M687" s="118"/>
      <c r="N687" s="118"/>
      <c r="O687" s="81"/>
      <c r="P687" s="255"/>
      <c r="Q687" s="255"/>
    </row>
    <row r="688" spans="6:17" x14ac:dyDescent="0.3">
      <c r="F688" s="81"/>
      <c r="G688" s="81"/>
      <c r="H688" s="81"/>
      <c r="I688" s="81"/>
      <c r="J688" s="81"/>
      <c r="K688" s="81"/>
      <c r="L688" s="118"/>
      <c r="M688" s="118"/>
      <c r="N688" s="118"/>
      <c r="O688" s="81"/>
      <c r="P688" s="255"/>
      <c r="Q688" s="255"/>
    </row>
    <row r="689" spans="6:17" x14ac:dyDescent="0.3">
      <c r="F689" s="81"/>
      <c r="G689" s="81"/>
      <c r="H689" s="81"/>
      <c r="I689" s="81"/>
      <c r="J689" s="81"/>
      <c r="K689" s="81"/>
      <c r="L689" s="118"/>
      <c r="M689" s="118"/>
      <c r="N689" s="118"/>
      <c r="O689" s="81"/>
      <c r="P689" s="255"/>
      <c r="Q689" s="255"/>
    </row>
    <row r="690" spans="6:17" x14ac:dyDescent="0.3">
      <c r="F690" s="81"/>
      <c r="G690" s="81"/>
      <c r="H690" s="81"/>
      <c r="I690" s="81"/>
      <c r="J690" s="81"/>
      <c r="K690" s="81"/>
      <c r="L690" s="118"/>
      <c r="M690" s="118"/>
      <c r="N690" s="118"/>
      <c r="O690" s="81"/>
      <c r="P690" s="255"/>
      <c r="Q690" s="255"/>
    </row>
    <row r="691" spans="6:17" x14ac:dyDescent="0.3">
      <c r="F691" s="81"/>
      <c r="G691" s="81"/>
      <c r="H691" s="81"/>
      <c r="I691" s="81"/>
      <c r="J691" s="81"/>
      <c r="K691" s="81"/>
      <c r="L691" s="118"/>
      <c r="M691" s="118"/>
      <c r="N691" s="118"/>
      <c r="O691" s="81"/>
      <c r="P691" s="255"/>
      <c r="Q691" s="255"/>
    </row>
    <row r="692" spans="6:17" x14ac:dyDescent="0.3">
      <c r="F692" s="81"/>
      <c r="G692" s="81"/>
      <c r="H692" s="81"/>
      <c r="I692" s="81"/>
      <c r="J692" s="81"/>
      <c r="K692" s="81"/>
      <c r="L692" s="118"/>
      <c r="M692" s="118"/>
      <c r="N692" s="118"/>
      <c r="O692" s="81"/>
      <c r="P692" s="255"/>
      <c r="Q692" s="255"/>
    </row>
    <row r="693" spans="6:17" x14ac:dyDescent="0.3">
      <c r="F693" s="81"/>
      <c r="G693" s="81"/>
      <c r="H693" s="81"/>
      <c r="I693" s="81"/>
      <c r="J693" s="81"/>
      <c r="K693" s="81"/>
      <c r="L693" s="118"/>
      <c r="M693" s="118"/>
      <c r="N693" s="118"/>
      <c r="O693" s="81"/>
      <c r="P693" s="255"/>
      <c r="Q693" s="255"/>
    </row>
    <row r="694" spans="6:17" x14ac:dyDescent="0.3">
      <c r="F694" s="81"/>
      <c r="G694" s="81"/>
      <c r="H694" s="81"/>
      <c r="I694" s="81"/>
      <c r="J694" s="81"/>
      <c r="K694" s="81"/>
      <c r="L694" s="118"/>
      <c r="M694" s="118"/>
      <c r="N694" s="118"/>
      <c r="O694" s="81"/>
      <c r="P694" s="255"/>
      <c r="Q694" s="255"/>
    </row>
    <row r="695" spans="6:17" x14ac:dyDescent="0.3">
      <c r="F695" s="81"/>
      <c r="G695" s="81"/>
      <c r="H695" s="81"/>
      <c r="I695" s="81"/>
      <c r="J695" s="81"/>
      <c r="K695" s="81"/>
      <c r="L695" s="118"/>
      <c r="M695" s="118"/>
      <c r="N695" s="118"/>
      <c r="O695" s="81"/>
      <c r="P695" s="255"/>
      <c r="Q695" s="255"/>
    </row>
    <row r="696" spans="6:17" x14ac:dyDescent="0.3">
      <c r="F696" s="81"/>
      <c r="G696" s="81"/>
      <c r="H696" s="81"/>
      <c r="I696" s="81"/>
      <c r="J696" s="81"/>
      <c r="K696" s="81"/>
      <c r="L696" s="118"/>
      <c r="M696" s="118"/>
      <c r="N696" s="118"/>
      <c r="O696" s="81"/>
      <c r="P696" s="255"/>
      <c r="Q696" s="255"/>
    </row>
  </sheetData>
  <autoFilter ref="A4:S575">
    <filterColumn colId="7" showButton="0"/>
    <filterColumn colId="8" showButton="0"/>
    <filterColumn colId="9" showButton="0"/>
    <filterColumn colId="11" showButton="0"/>
    <filterColumn colId="12" showButton="0"/>
    <filterColumn colId="13" showButton="0"/>
  </autoFilter>
  <mergeCells count="121">
    <mergeCell ref="B574:O574"/>
    <mergeCell ref="B575:O575"/>
    <mergeCell ref="B576:O576"/>
    <mergeCell ref="A537:S537"/>
    <mergeCell ref="A545:S545"/>
    <mergeCell ref="A550:S550"/>
    <mergeCell ref="A551:S551"/>
    <mergeCell ref="A557:S557"/>
    <mergeCell ref="A567:S567"/>
    <mergeCell ref="A484:S484"/>
    <mergeCell ref="A490:S490"/>
    <mergeCell ref="A501:S501"/>
    <mergeCell ref="A506:S506"/>
    <mergeCell ref="A507:S507"/>
    <mergeCell ref="A513:S513"/>
    <mergeCell ref="A522:S522"/>
    <mergeCell ref="A527:S527"/>
    <mergeCell ref="A528:S528"/>
    <mergeCell ref="A430:S430"/>
    <mergeCell ref="A436:S436"/>
    <mergeCell ref="A437:S437"/>
    <mergeCell ref="A444:S444"/>
    <mergeCell ref="A455:S455"/>
    <mergeCell ref="A461:S461"/>
    <mergeCell ref="A462:S462"/>
    <mergeCell ref="A469:S469"/>
    <mergeCell ref="A478:S478"/>
    <mergeCell ref="A373:S373"/>
    <mergeCell ref="A383:S383"/>
    <mergeCell ref="A388:S388"/>
    <mergeCell ref="A389:S389"/>
    <mergeCell ref="A396:S396"/>
    <mergeCell ref="A406:S406"/>
    <mergeCell ref="A411:S411"/>
    <mergeCell ref="A412:S412"/>
    <mergeCell ref="A420:S420"/>
    <mergeCell ref="A319:S319"/>
    <mergeCell ref="A327:S327"/>
    <mergeCell ref="A336:S336"/>
    <mergeCell ref="A342:S342"/>
    <mergeCell ref="A343:S343"/>
    <mergeCell ref="A351:S351"/>
    <mergeCell ref="A361:S361"/>
    <mergeCell ref="A366:S366"/>
    <mergeCell ref="A367:S367"/>
    <mergeCell ref="A270:S270"/>
    <mergeCell ref="A271:S271"/>
    <mergeCell ref="A277:S277"/>
    <mergeCell ref="A287:S287"/>
    <mergeCell ref="A293:S293"/>
    <mergeCell ref="A294:S294"/>
    <mergeCell ref="A301:S301"/>
    <mergeCell ref="A312:S312"/>
    <mergeCell ref="A318:S318"/>
    <mergeCell ref="A196:S196"/>
    <mergeCell ref="A201:S201"/>
    <mergeCell ref="A202:S202"/>
    <mergeCell ref="A209:S209"/>
    <mergeCell ref="A218:S218"/>
    <mergeCell ref="A223:S223"/>
    <mergeCell ref="A224:S224"/>
    <mergeCell ref="A233:S233"/>
    <mergeCell ref="A242:S242"/>
    <mergeCell ref="A135:S135"/>
    <mergeCell ref="A147:S147"/>
    <mergeCell ref="A154:S154"/>
    <mergeCell ref="A155:S155"/>
    <mergeCell ref="A162:S162"/>
    <mergeCell ref="A173:S173"/>
    <mergeCell ref="A178:S178"/>
    <mergeCell ref="A179:S179"/>
    <mergeCell ref="A187:S187"/>
    <mergeCell ref="A81:S81"/>
    <mergeCell ref="A88:S88"/>
    <mergeCell ref="A98:S98"/>
    <mergeCell ref="A103:S103"/>
    <mergeCell ref="A104:S104"/>
    <mergeCell ref="A111:S111"/>
    <mergeCell ref="A121:S121"/>
    <mergeCell ref="A126:S126"/>
    <mergeCell ref="A127:S127"/>
    <mergeCell ref="E4:E6"/>
    <mergeCell ref="A9:S9"/>
    <mergeCell ref="A16:S16"/>
    <mergeCell ref="A26:S26"/>
    <mergeCell ref="A32:S32"/>
    <mergeCell ref="A8:S8"/>
    <mergeCell ref="A31:S31"/>
    <mergeCell ref="S4:S7"/>
    <mergeCell ref="R4:R7"/>
    <mergeCell ref="M5:M7"/>
    <mergeCell ref="N5:N7"/>
    <mergeCell ref="P5:P7"/>
    <mergeCell ref="Q5:Q7"/>
    <mergeCell ref="O5:O7"/>
    <mergeCell ref="L5:L7"/>
    <mergeCell ref="H4:K4"/>
    <mergeCell ref="A483:S483"/>
    <mergeCell ref="A247:S247"/>
    <mergeCell ref="A248:S248"/>
    <mergeCell ref="A255:S255"/>
    <mergeCell ref="A265:S265"/>
    <mergeCell ref="B2:O2"/>
    <mergeCell ref="I5:I7"/>
    <mergeCell ref="C4:C6"/>
    <mergeCell ref="L4:O4"/>
    <mergeCell ref="J5:J7"/>
    <mergeCell ref="F4:F6"/>
    <mergeCell ref="G4:G6"/>
    <mergeCell ref="K5:K7"/>
    <mergeCell ref="B4:B7"/>
    <mergeCell ref="A41:S41"/>
    <mergeCell ref="A49:S49"/>
    <mergeCell ref="A54:S54"/>
    <mergeCell ref="A55:S55"/>
    <mergeCell ref="A62:S62"/>
    <mergeCell ref="A80:S80"/>
    <mergeCell ref="A72:S72"/>
    <mergeCell ref="A4:A7"/>
    <mergeCell ref="H5:H7"/>
    <mergeCell ref="D4:D6"/>
  </mergeCells>
  <phoneticPr fontId="1" type="noConversion"/>
  <printOptions horizontalCentered="1"/>
  <pageMargins left="1.5748031496062993" right="0.39370078740157483" top="0.15748031496062992" bottom="0.15748031496062992" header="0.15748031496062992" footer="0.15748031496062992"/>
  <pageSetup paperSize="9" scale="39" fitToHeight="9" orientation="landscape" r:id="rId1"/>
  <headerFooter alignWithMargins="0"/>
  <rowBreaks count="7" manualBreakCount="7">
    <brk id="79" max="16383" man="1"/>
    <brk id="153" max="16383" man="1"/>
    <brk id="222" max="16383" man="1"/>
    <brk id="292" max="16383" man="1"/>
    <brk id="365" max="16383" man="1"/>
    <brk id="435" max="16383" man="1"/>
    <brk id="505" max="16383" man="1"/>
  </rowBreaks>
  <ignoredErrors>
    <ignoredError sqref="I68 I13 I21 H95:O95 O540 P539 I93 I117 O130 H191 J191 I283 H331 J331 I356 I451 I449 K448 J515:K515 J517 P398 I214 I402 J4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X599"/>
  <sheetViews>
    <sheetView view="pageBreakPreview" zoomScale="55" zoomScaleNormal="60" zoomScaleSheetLayoutView="55" workbookViewId="0">
      <pane ySplit="7" topLeftCell="A527" activePane="bottomLeft" state="frozen"/>
      <selection pane="bottomLeft" activeCell="B531" sqref="B531"/>
    </sheetView>
  </sheetViews>
  <sheetFormatPr defaultRowHeight="18.75" x14ac:dyDescent="0.3"/>
  <cols>
    <col min="1" max="1" width="6.85546875" style="134" customWidth="1"/>
    <col min="2" max="2" width="63.7109375" style="140" customWidth="1"/>
    <col min="3" max="3" width="18.42578125" style="144" customWidth="1"/>
    <col min="4" max="4" width="19.140625" style="145" customWidth="1"/>
    <col min="5" max="5" width="15.85546875" style="145" customWidth="1"/>
    <col min="6" max="6" width="15.28515625" style="145" customWidth="1"/>
    <col min="7" max="7" width="16.7109375" style="145" customWidth="1"/>
    <col min="8" max="15" width="13.42578125" style="145" customWidth="1"/>
    <col min="16" max="16" width="10.85546875" style="83" customWidth="1"/>
    <col min="17" max="17" width="12" style="83" customWidth="1"/>
    <col min="18" max="19" width="23.85546875" style="84" customWidth="1"/>
    <col min="20" max="16384" width="9.140625" style="1"/>
  </cols>
  <sheetData>
    <row r="1" spans="1:19" ht="26.25" customHeight="1" x14ac:dyDescent="0.3">
      <c r="A1" s="78"/>
      <c r="B1" s="79" t="s">
        <v>71</v>
      </c>
      <c r="C1" s="80"/>
      <c r="D1" s="81"/>
      <c r="E1" s="82"/>
      <c r="F1" s="81"/>
      <c r="G1" s="82"/>
      <c r="H1" s="81"/>
      <c r="I1" s="81"/>
      <c r="J1" s="81"/>
      <c r="K1" s="81"/>
      <c r="L1" s="81"/>
      <c r="M1" s="81"/>
      <c r="N1" s="81"/>
      <c r="O1" s="81"/>
      <c r="R1" s="84" t="s">
        <v>24</v>
      </c>
    </row>
    <row r="2" spans="1:19" s="2" customFormat="1" ht="37.5" customHeight="1" x14ac:dyDescent="0.3">
      <c r="A2" s="85"/>
      <c r="B2" s="281" t="s">
        <v>36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83"/>
      <c r="Q2" s="83"/>
      <c r="R2" s="84"/>
      <c r="S2" s="84"/>
    </row>
    <row r="3" spans="1:19" ht="17.25" customHeight="1" thickBot="1" x14ac:dyDescent="0.35">
      <c r="A3" s="78"/>
      <c r="B3" s="86"/>
      <c r="C3" s="87"/>
      <c r="D3" s="82"/>
      <c r="E3" s="82"/>
      <c r="F3" s="82"/>
      <c r="G3" s="82"/>
      <c r="H3" s="81"/>
      <c r="I3" s="81"/>
      <c r="J3" s="81"/>
      <c r="K3" s="81"/>
      <c r="L3" s="81"/>
      <c r="M3" s="81"/>
      <c r="N3" s="81"/>
      <c r="O3" s="81"/>
    </row>
    <row r="4" spans="1:19" ht="18" customHeight="1" thickBot="1" x14ac:dyDescent="0.35">
      <c r="A4" s="308"/>
      <c r="B4" s="362" t="s">
        <v>0</v>
      </c>
      <c r="C4" s="285" t="s">
        <v>1</v>
      </c>
      <c r="D4" s="289" t="s">
        <v>16</v>
      </c>
      <c r="E4" s="289" t="s">
        <v>17</v>
      </c>
      <c r="F4" s="289" t="s">
        <v>15</v>
      </c>
      <c r="G4" s="291" t="s">
        <v>10</v>
      </c>
      <c r="H4" s="335" t="s">
        <v>21</v>
      </c>
      <c r="I4" s="336"/>
      <c r="J4" s="336"/>
      <c r="K4" s="381"/>
      <c r="L4" s="287" t="s">
        <v>22</v>
      </c>
      <c r="M4" s="288"/>
      <c r="N4" s="288"/>
      <c r="O4" s="288"/>
      <c r="P4" s="88"/>
      <c r="Q4" s="88"/>
      <c r="R4" s="378" t="s">
        <v>237</v>
      </c>
      <c r="S4" s="378" t="s">
        <v>238</v>
      </c>
    </row>
    <row r="5" spans="1:19" ht="18.75" customHeight="1" x14ac:dyDescent="0.2">
      <c r="A5" s="309"/>
      <c r="B5" s="363"/>
      <c r="C5" s="286"/>
      <c r="D5" s="290"/>
      <c r="E5" s="290"/>
      <c r="F5" s="290"/>
      <c r="G5" s="292"/>
      <c r="H5" s="375" t="s">
        <v>23</v>
      </c>
      <c r="I5" s="282" t="s">
        <v>24</v>
      </c>
      <c r="J5" s="282" t="s">
        <v>25</v>
      </c>
      <c r="K5" s="293" t="s">
        <v>26</v>
      </c>
      <c r="L5" s="282" t="s">
        <v>27</v>
      </c>
      <c r="M5" s="282" t="s">
        <v>28</v>
      </c>
      <c r="N5" s="282" t="s">
        <v>29</v>
      </c>
      <c r="O5" s="332" t="s">
        <v>30</v>
      </c>
      <c r="P5" s="371" t="s">
        <v>105</v>
      </c>
      <c r="Q5" s="372" t="s">
        <v>108</v>
      </c>
      <c r="R5" s="379"/>
      <c r="S5" s="379"/>
    </row>
    <row r="6" spans="1:19" ht="13.5" customHeight="1" x14ac:dyDescent="0.2">
      <c r="A6" s="309"/>
      <c r="B6" s="363"/>
      <c r="C6" s="286"/>
      <c r="D6" s="290"/>
      <c r="E6" s="290"/>
      <c r="F6" s="290"/>
      <c r="G6" s="292"/>
      <c r="H6" s="376"/>
      <c r="I6" s="283"/>
      <c r="J6" s="283"/>
      <c r="K6" s="294"/>
      <c r="L6" s="283"/>
      <c r="M6" s="283"/>
      <c r="N6" s="283"/>
      <c r="O6" s="333"/>
      <c r="P6" s="283"/>
      <c r="Q6" s="373"/>
      <c r="R6" s="379"/>
      <c r="S6" s="379"/>
    </row>
    <row r="7" spans="1:19" s="3" customFormat="1" ht="26.25" customHeight="1" thickBot="1" x14ac:dyDescent="0.25">
      <c r="A7" s="310"/>
      <c r="B7" s="364"/>
      <c r="C7" s="89" t="s">
        <v>2</v>
      </c>
      <c r="D7" s="90" t="s">
        <v>2</v>
      </c>
      <c r="E7" s="91" t="s">
        <v>2</v>
      </c>
      <c r="F7" s="91" t="s">
        <v>2</v>
      </c>
      <c r="G7" s="92" t="s">
        <v>2</v>
      </c>
      <c r="H7" s="377"/>
      <c r="I7" s="284"/>
      <c r="J7" s="284"/>
      <c r="K7" s="295"/>
      <c r="L7" s="284"/>
      <c r="M7" s="284"/>
      <c r="N7" s="284"/>
      <c r="O7" s="334"/>
      <c r="P7" s="284"/>
      <c r="Q7" s="374"/>
      <c r="R7" s="380"/>
      <c r="S7" s="380"/>
    </row>
    <row r="8" spans="1:19" s="4" customFormat="1" ht="19.5" customHeight="1" thickBot="1" x14ac:dyDescent="0.3">
      <c r="A8" s="365" t="s">
        <v>41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7"/>
    </row>
    <row r="9" spans="1:19" s="4" customFormat="1" x14ac:dyDescent="0.25">
      <c r="A9" s="368" t="s">
        <v>3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70"/>
    </row>
    <row r="10" spans="1:19" s="63" customFormat="1" x14ac:dyDescent="0.2">
      <c r="A10" s="49">
        <v>1</v>
      </c>
      <c r="B10" s="47" t="s">
        <v>260</v>
      </c>
      <c r="C10" s="41">
        <v>150</v>
      </c>
      <c r="D10" s="42">
        <f>3.15*C10/100</f>
        <v>4.7249999999999996</v>
      </c>
      <c r="E10" s="42">
        <f>7.08*C10/100</f>
        <v>10.62</v>
      </c>
      <c r="F10" s="42">
        <f>12.47*C10/100</f>
        <v>18.704999999999998</v>
      </c>
      <c r="G10" s="42">
        <f>126.2*C10/100</f>
        <v>189.3</v>
      </c>
      <c r="H10" s="42">
        <f>0.17*C10/100</f>
        <v>0.25500000000000006</v>
      </c>
      <c r="I10" s="42">
        <f>7.8*C10/100</f>
        <v>11.7</v>
      </c>
      <c r="J10" s="42">
        <f>0.02*C10/100</f>
        <v>0.03</v>
      </c>
      <c r="K10" s="42">
        <f>0.06*C10/100</f>
        <v>0.09</v>
      </c>
      <c r="L10" s="48">
        <f>11.3*C10/100</f>
        <v>16.95</v>
      </c>
      <c r="M10" s="48">
        <f>69.56*C10/100</f>
        <v>104.34</v>
      </c>
      <c r="N10" s="48">
        <f>26.95*C10/100</f>
        <v>40.424999999999997</v>
      </c>
      <c r="O10" s="42">
        <f>0.76*C10/100</f>
        <v>1.1399999999999999</v>
      </c>
      <c r="P10" s="49">
        <f>0.02*C10/100</f>
        <v>0.03</v>
      </c>
      <c r="Q10" s="49">
        <v>3.5</v>
      </c>
      <c r="R10" s="233">
        <v>120209</v>
      </c>
      <c r="S10" s="233">
        <v>120210</v>
      </c>
    </row>
    <row r="11" spans="1:19" s="63" customFormat="1" x14ac:dyDescent="0.2">
      <c r="A11" s="49">
        <v>2</v>
      </c>
      <c r="B11" s="47" t="s">
        <v>122</v>
      </c>
      <c r="C11" s="41">
        <v>200</v>
      </c>
      <c r="D11" s="94">
        <f>2.25*C11/100</f>
        <v>4.5</v>
      </c>
      <c r="E11" s="94">
        <f>2.24*C11/100</f>
        <v>4.4800000000000004</v>
      </c>
      <c r="F11" s="94">
        <f>10.25*C11/100</f>
        <v>20.5</v>
      </c>
      <c r="G11" s="94">
        <f>70.23*C11/100</f>
        <v>140.46</v>
      </c>
      <c r="H11" s="42">
        <f>0.13*C11/100</f>
        <v>0.26</v>
      </c>
      <c r="I11" s="42">
        <f>7*C11/100</f>
        <v>14</v>
      </c>
      <c r="J11" s="42">
        <f>0*C11/100</f>
        <v>0</v>
      </c>
      <c r="K11" s="42">
        <v>0</v>
      </c>
      <c r="L11" s="48">
        <f>1.55*C11/100</f>
        <v>3.1</v>
      </c>
      <c r="M11" s="48">
        <v>0</v>
      </c>
      <c r="N11" s="48">
        <f>0.3*C11/100</f>
        <v>0.6</v>
      </c>
      <c r="O11" s="42">
        <f>0.02*C11/100</f>
        <v>0.04</v>
      </c>
      <c r="P11" s="49">
        <v>0</v>
      </c>
      <c r="Q11" s="49">
        <v>3.58</v>
      </c>
      <c r="R11" s="67">
        <v>160104</v>
      </c>
      <c r="S11" s="67"/>
    </row>
    <row r="12" spans="1:19" s="63" customFormat="1" ht="56.25" x14ac:dyDescent="0.2">
      <c r="A12" s="49">
        <v>3</v>
      </c>
      <c r="B12" s="47" t="s">
        <v>188</v>
      </c>
      <c r="C12" s="59">
        <v>20</v>
      </c>
      <c r="D12" s="60">
        <f>26*C12/100</f>
        <v>5.2</v>
      </c>
      <c r="E12" s="60">
        <f>26.1*C12/100</f>
        <v>5.22</v>
      </c>
      <c r="F12" s="60">
        <f>0*C12/100</f>
        <v>0</v>
      </c>
      <c r="G12" s="42">
        <f>344*C12/100</f>
        <v>68.8</v>
      </c>
      <c r="H12" s="49">
        <f>0.03*C12/100</f>
        <v>6.0000000000000001E-3</v>
      </c>
      <c r="I12" s="49">
        <f>0.8*C12/100</f>
        <v>0.16</v>
      </c>
      <c r="J12" s="49">
        <f>0.23*C12/100</f>
        <v>4.6000000000000006E-2</v>
      </c>
      <c r="K12" s="49">
        <f>0.5*C12/100</f>
        <v>0.1</v>
      </c>
      <c r="L12" s="48">
        <f>1000*C12/100</f>
        <v>200</v>
      </c>
      <c r="M12" s="48">
        <f>650*C12/100</f>
        <v>130</v>
      </c>
      <c r="N12" s="48">
        <f>45*C12/100</f>
        <v>9</v>
      </c>
      <c r="O12" s="49">
        <f>0.8*C12/100</f>
        <v>0.16</v>
      </c>
      <c r="P12" s="49">
        <f>0.3*C12/100</f>
        <v>0.06</v>
      </c>
      <c r="Q12" s="49">
        <v>0</v>
      </c>
      <c r="R12" s="67">
        <v>100102</v>
      </c>
      <c r="S12" s="67"/>
    </row>
    <row r="13" spans="1:19" s="63" customFormat="1" x14ac:dyDescent="0.2">
      <c r="A13" s="49">
        <v>4</v>
      </c>
      <c r="B13" s="96" t="s">
        <v>142</v>
      </c>
      <c r="C13" s="41">
        <v>30</v>
      </c>
      <c r="D13" s="42">
        <f>8.8*C13/100</f>
        <v>2.64</v>
      </c>
      <c r="E13" s="42">
        <f>1.7*C13/100</f>
        <v>0.51</v>
      </c>
      <c r="F13" s="42">
        <f>29.4*C13/100</f>
        <v>8.82</v>
      </c>
      <c r="G13" s="42">
        <f>168*C13/100</f>
        <v>50.4</v>
      </c>
      <c r="H13" s="42">
        <f>0.34*C13/100</f>
        <v>0.10200000000000001</v>
      </c>
      <c r="I13" s="42">
        <f>0*C13/100</f>
        <v>0</v>
      </c>
      <c r="J13" s="42">
        <v>0</v>
      </c>
      <c r="K13" s="42">
        <f>1.5*C13/100</f>
        <v>0.45</v>
      </c>
      <c r="L13" s="48">
        <f>148.1*C13/100</f>
        <v>44.43</v>
      </c>
      <c r="M13" s="48">
        <f>0*C13/100</f>
        <v>0</v>
      </c>
      <c r="N13" s="48">
        <f>16*C13/100</f>
        <v>4.8</v>
      </c>
      <c r="O13" s="42">
        <f>2.4*C13/100</f>
        <v>0.72</v>
      </c>
      <c r="P13" s="56">
        <f>0.2*C13/100</f>
        <v>0.06</v>
      </c>
      <c r="Q13" s="56">
        <v>10</v>
      </c>
      <c r="R13" s="67">
        <v>200101</v>
      </c>
      <c r="S13" s="67"/>
    </row>
    <row r="14" spans="1:19" s="63" customFormat="1" x14ac:dyDescent="0.2">
      <c r="A14" s="49">
        <v>5</v>
      </c>
      <c r="B14" s="47" t="s">
        <v>268</v>
      </c>
      <c r="C14" s="41">
        <v>150</v>
      </c>
      <c r="D14" s="42">
        <f>5.5*C14/100</f>
        <v>8.25</v>
      </c>
      <c r="E14" s="42">
        <v>0</v>
      </c>
      <c r="F14" s="42">
        <f>20.56*C14/100</f>
        <v>30.84</v>
      </c>
      <c r="G14" s="42">
        <f>104*C14/100</f>
        <v>156</v>
      </c>
      <c r="H14" s="42">
        <v>0</v>
      </c>
      <c r="I14" s="42">
        <f>0.8*C14/100</f>
        <v>1.2</v>
      </c>
      <c r="J14" s="42">
        <v>0</v>
      </c>
      <c r="K14" s="42">
        <v>0</v>
      </c>
      <c r="L14" s="48">
        <f>28.96*C14/100</f>
        <v>43.44</v>
      </c>
      <c r="M14" s="48">
        <f>9.26*C14/100</f>
        <v>13.89</v>
      </c>
      <c r="N14" s="48">
        <f>3.51*C14/100</f>
        <v>5.2649999999999997</v>
      </c>
      <c r="O14" s="42">
        <f>0.1*C14/100</f>
        <v>0.15</v>
      </c>
      <c r="P14" s="56">
        <v>0</v>
      </c>
      <c r="Q14" s="56">
        <v>0</v>
      </c>
      <c r="R14" s="233">
        <v>220101</v>
      </c>
      <c r="S14" s="233">
        <v>220102</v>
      </c>
    </row>
    <row r="15" spans="1:19" s="4" customFormat="1" x14ac:dyDescent="0.25">
      <c r="A15" s="49"/>
      <c r="B15" s="219" t="s">
        <v>4</v>
      </c>
      <c r="C15" s="109"/>
      <c r="D15" s="172">
        <f t="shared" ref="D15:Q15" si="0">SUM(D10:D14)</f>
        <v>25.315000000000001</v>
      </c>
      <c r="E15" s="172">
        <f t="shared" si="0"/>
        <v>20.830000000000002</v>
      </c>
      <c r="F15" s="172">
        <f t="shared" si="0"/>
        <v>78.864999999999995</v>
      </c>
      <c r="G15" s="172">
        <f t="shared" si="0"/>
        <v>604.96</v>
      </c>
      <c r="H15" s="172">
        <f t="shared" si="0"/>
        <v>0.62300000000000011</v>
      </c>
      <c r="I15" s="172">
        <f t="shared" si="0"/>
        <v>27.06</v>
      </c>
      <c r="J15" s="172">
        <f t="shared" si="0"/>
        <v>7.6000000000000012E-2</v>
      </c>
      <c r="K15" s="172">
        <f t="shared" si="0"/>
        <v>0.64</v>
      </c>
      <c r="L15" s="172">
        <f t="shared" si="0"/>
        <v>307.92</v>
      </c>
      <c r="M15" s="172">
        <f t="shared" si="0"/>
        <v>248.23000000000002</v>
      </c>
      <c r="N15" s="172">
        <f t="shared" si="0"/>
        <v>60.089999999999996</v>
      </c>
      <c r="O15" s="172">
        <f t="shared" si="0"/>
        <v>2.2099999999999995</v>
      </c>
      <c r="P15" s="170">
        <f t="shared" si="0"/>
        <v>0.15</v>
      </c>
      <c r="Q15" s="170">
        <f t="shared" si="0"/>
        <v>17.079999999999998</v>
      </c>
      <c r="R15" s="122"/>
      <c r="S15" s="122"/>
    </row>
    <row r="16" spans="1:19" s="4" customFormat="1" ht="21" customHeight="1" x14ac:dyDescent="0.25">
      <c r="A16" s="314" t="s">
        <v>5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43"/>
    </row>
    <row r="17" spans="1:19" s="63" customFormat="1" ht="37.5" x14ac:dyDescent="0.2">
      <c r="A17" s="49">
        <v>1</v>
      </c>
      <c r="B17" s="47" t="s">
        <v>195</v>
      </c>
      <c r="C17" s="182">
        <v>60</v>
      </c>
      <c r="D17" s="42">
        <f>1.18*C17/100</f>
        <v>0.70799999999999996</v>
      </c>
      <c r="E17" s="42">
        <f>10.17*C17/100</f>
        <v>6.1020000000000003</v>
      </c>
      <c r="F17" s="42">
        <f>2.63*C17/100</f>
        <v>1.5779999999999998</v>
      </c>
      <c r="G17" s="42">
        <f>108.06*C17/100</f>
        <v>64.835999999999999</v>
      </c>
      <c r="H17" s="94">
        <f>0.04*C17/100</f>
        <v>2.4E-2</v>
      </c>
      <c r="I17" s="94">
        <f>15.3*C17/100</f>
        <v>9.18</v>
      </c>
      <c r="J17" s="94">
        <f>0*C17/100</f>
        <v>0</v>
      </c>
      <c r="K17" s="94">
        <f>2.03*C17/100</f>
        <v>1.2179999999999997</v>
      </c>
      <c r="L17" s="124">
        <f>41.72*C17/100</f>
        <v>25.031999999999996</v>
      </c>
      <c r="M17" s="124">
        <f>27.54*C17/100</f>
        <v>16.523999999999997</v>
      </c>
      <c r="N17" s="124">
        <f>27.54*C17/100</f>
        <v>16.523999999999997</v>
      </c>
      <c r="O17" s="94">
        <f>0.68*C17/100</f>
        <v>0.40800000000000003</v>
      </c>
      <c r="P17" s="49">
        <f>0.05*C17/100</f>
        <v>0.03</v>
      </c>
      <c r="Q17" s="49">
        <f>5.6*C17/100</f>
        <v>3.36</v>
      </c>
      <c r="R17" s="67">
        <v>100204</v>
      </c>
      <c r="S17" s="67"/>
    </row>
    <row r="18" spans="1:19" s="63" customFormat="1" x14ac:dyDescent="0.2">
      <c r="A18" s="49">
        <v>2</v>
      </c>
      <c r="B18" s="47" t="s">
        <v>110</v>
      </c>
      <c r="C18" s="41">
        <v>250</v>
      </c>
      <c r="D18" s="42">
        <f>0.8*C18/100</f>
        <v>2</v>
      </c>
      <c r="E18" s="42">
        <f>2.4*C18/100</f>
        <v>6</v>
      </c>
      <c r="F18" s="42">
        <f>5.1*C18/100</f>
        <v>12.75</v>
      </c>
      <c r="G18" s="42">
        <f>45.2*C18/100</f>
        <v>113</v>
      </c>
      <c r="H18" s="42">
        <f>0.09*C18/100</f>
        <v>0.22500000000000001</v>
      </c>
      <c r="I18" s="42">
        <f>2.34*C18/100</f>
        <v>5.85</v>
      </c>
      <c r="J18" s="42">
        <f>0.01*C18/100</f>
        <v>2.5000000000000001E-2</v>
      </c>
      <c r="K18" s="42">
        <f>0.06*C18/100</f>
        <v>0.15</v>
      </c>
      <c r="L18" s="48">
        <f>15.23*C18/100</f>
        <v>38.075000000000003</v>
      </c>
      <c r="M18" s="48">
        <f>34.92*C18/100</f>
        <v>87.3</v>
      </c>
      <c r="N18" s="48">
        <f>14.35*C18/100</f>
        <v>35.875</v>
      </c>
      <c r="O18" s="42">
        <f>0.8*C18/100</f>
        <v>2</v>
      </c>
      <c r="P18" s="49">
        <f>0.03*C18/100</f>
        <v>7.4999999999999997E-2</v>
      </c>
      <c r="Q18" s="49">
        <v>2.9</v>
      </c>
      <c r="R18" s="67">
        <v>110307</v>
      </c>
      <c r="S18" s="67">
        <v>110308</v>
      </c>
    </row>
    <row r="19" spans="1:19" s="63" customFormat="1" x14ac:dyDescent="0.2">
      <c r="A19" s="49">
        <v>3</v>
      </c>
      <c r="B19" s="47" t="s">
        <v>124</v>
      </c>
      <c r="C19" s="41">
        <v>10</v>
      </c>
      <c r="D19" s="42">
        <f>11.1*C19/100</f>
        <v>1.1100000000000001</v>
      </c>
      <c r="E19" s="42">
        <f>3.79*C19/100</f>
        <v>0.379</v>
      </c>
      <c r="F19" s="42">
        <f>76.15*C19/100</f>
        <v>7.6150000000000002</v>
      </c>
      <c r="G19" s="42">
        <f>390.39*C19/100</f>
        <v>39.038999999999994</v>
      </c>
      <c r="H19" s="42">
        <f>0.61*C19/100</f>
        <v>6.0999999999999999E-2</v>
      </c>
      <c r="I19" s="42">
        <f>0*C19/100</f>
        <v>0</v>
      </c>
      <c r="J19" s="42">
        <f>0*C19/100</f>
        <v>0</v>
      </c>
      <c r="K19" s="42">
        <f>0*C19/100</f>
        <v>0</v>
      </c>
      <c r="L19" s="48">
        <f>211.78*C19/100</f>
        <v>21.178000000000001</v>
      </c>
      <c r="M19" s="48">
        <f>0.25*C19/100</f>
        <v>2.5000000000000001E-2</v>
      </c>
      <c r="N19" s="48">
        <f>22.8*C19/100</f>
        <v>2.2799999999999998</v>
      </c>
      <c r="O19" s="42">
        <f>0.002*C19/100</f>
        <v>2.0000000000000001E-4</v>
      </c>
      <c r="P19" s="49">
        <f>0.44*C19/100</f>
        <v>4.4000000000000004E-2</v>
      </c>
      <c r="Q19" s="49">
        <v>0</v>
      </c>
      <c r="R19" s="67">
        <v>180601</v>
      </c>
      <c r="S19" s="67"/>
    </row>
    <row r="20" spans="1:19" s="63" customFormat="1" x14ac:dyDescent="0.2">
      <c r="A20" s="49">
        <v>4</v>
      </c>
      <c r="B20" s="47" t="s">
        <v>190</v>
      </c>
      <c r="C20" s="41">
        <v>100</v>
      </c>
      <c r="D20" s="42">
        <f>17.83*C20/100</f>
        <v>17.829999999999998</v>
      </c>
      <c r="E20" s="42">
        <f>0.93*C20/100</f>
        <v>0.93</v>
      </c>
      <c r="F20" s="42">
        <f>0.45*C20/100</f>
        <v>0.45</v>
      </c>
      <c r="G20" s="42">
        <f>149.16*C20/100</f>
        <v>149.16</v>
      </c>
      <c r="H20" s="42">
        <f>0*C20/100</f>
        <v>0</v>
      </c>
      <c r="I20" s="42">
        <f>0.41*C20/100</f>
        <v>0.41</v>
      </c>
      <c r="J20" s="42">
        <f>0*C20/100</f>
        <v>0</v>
      </c>
      <c r="K20" s="42">
        <f>C20*0.01/100</f>
        <v>0.01</v>
      </c>
      <c r="L20" s="48">
        <f>C20*44.29/100</f>
        <v>44.29</v>
      </c>
      <c r="M20" s="48">
        <f>C20*294.74/100</f>
        <v>294.74</v>
      </c>
      <c r="N20" s="48">
        <f>C20*19.83/100</f>
        <v>19.829999999999998</v>
      </c>
      <c r="O20" s="42">
        <f>C20*0.02/100</f>
        <v>0.02</v>
      </c>
      <c r="P20" s="49">
        <f>0.14*C20/100</f>
        <v>0.14000000000000001</v>
      </c>
      <c r="Q20" s="49">
        <f>56.56*C20/100</f>
        <v>56.56</v>
      </c>
      <c r="R20" s="67">
        <v>120405</v>
      </c>
      <c r="S20" s="67"/>
    </row>
    <row r="21" spans="1:19" s="63" customFormat="1" x14ac:dyDescent="0.2">
      <c r="A21" s="49">
        <v>5</v>
      </c>
      <c r="B21" s="47" t="s">
        <v>8</v>
      </c>
      <c r="C21" s="41">
        <v>150</v>
      </c>
      <c r="D21" s="42">
        <f>2.225*C21/100</f>
        <v>3.3374999999999999</v>
      </c>
      <c r="E21" s="42">
        <f>7.525*C21/100</f>
        <v>11.2875</v>
      </c>
      <c r="F21" s="42">
        <f>25.84*C21/100</f>
        <v>38.76</v>
      </c>
      <c r="G21" s="42">
        <f>180*C21/100</f>
        <v>270</v>
      </c>
      <c r="H21" s="42">
        <f>0.02*C21/100</f>
        <v>0.03</v>
      </c>
      <c r="I21" s="42">
        <f>0*C21/100</f>
        <v>0</v>
      </c>
      <c r="J21" s="42">
        <f>0.04*C21/100</f>
        <v>0.06</v>
      </c>
      <c r="K21" s="42">
        <f>0.1*C21/100</f>
        <v>0.15</v>
      </c>
      <c r="L21" s="48">
        <f>1.38*C21/100</f>
        <v>2.0699999999999998</v>
      </c>
      <c r="M21" s="48">
        <f>40.5*C21/100</f>
        <v>60.75</v>
      </c>
      <c r="N21" s="48">
        <f>12.43*C21/100</f>
        <v>18.645</v>
      </c>
      <c r="O21" s="42">
        <f>0.35*C21/100</f>
        <v>0.52500000000000002</v>
      </c>
      <c r="P21" s="49">
        <f>0.015*C21/100</f>
        <v>2.2499999999999999E-2</v>
      </c>
      <c r="Q21" s="59">
        <v>0</v>
      </c>
      <c r="R21" s="67">
        <v>130301</v>
      </c>
      <c r="S21" s="67">
        <v>130302</v>
      </c>
    </row>
    <row r="22" spans="1:19" s="37" customFormat="1" ht="22.5" customHeight="1" x14ac:dyDescent="0.2">
      <c r="A22" s="49">
        <v>6</v>
      </c>
      <c r="B22" s="47" t="s">
        <v>228</v>
      </c>
      <c r="C22" s="41">
        <v>200</v>
      </c>
      <c r="D22" s="42">
        <f>0.4*C22/100</f>
        <v>0.8</v>
      </c>
      <c r="E22" s="42">
        <f>0.06*C22/100</f>
        <v>0.12</v>
      </c>
      <c r="F22" s="42">
        <f>13.24*C22/100</f>
        <v>26.48</v>
      </c>
      <c r="G22" s="42">
        <f>46.13*C22/100</f>
        <v>92.26</v>
      </c>
      <c r="H22" s="42">
        <f>0.01*C22/100</f>
        <v>0.02</v>
      </c>
      <c r="I22" s="42">
        <f>0.28*C22/100</f>
        <v>0.56000000000000005</v>
      </c>
      <c r="J22" s="42">
        <f>0*C22/100</f>
        <v>0</v>
      </c>
      <c r="K22" s="42">
        <f>0.02*C22/100</f>
        <v>0.04</v>
      </c>
      <c r="L22" s="48">
        <f>17.8*C22/100</f>
        <v>35.6</v>
      </c>
      <c r="M22" s="48">
        <f>14.97*C22/100</f>
        <v>29.94</v>
      </c>
      <c r="N22" s="48">
        <f>11.17*C22/100</f>
        <v>22.34</v>
      </c>
      <c r="O22" s="42">
        <f>0.39*C22/100</f>
        <v>0.78</v>
      </c>
      <c r="P22" s="62">
        <f>0.02*C22/100</f>
        <v>0.04</v>
      </c>
      <c r="Q22" s="62">
        <v>2.3199999999999998</v>
      </c>
      <c r="R22" s="67">
        <v>160211</v>
      </c>
      <c r="S22" s="67"/>
    </row>
    <row r="23" spans="1:19" s="63" customFormat="1" x14ac:dyDescent="0.2">
      <c r="A23" s="49">
        <v>7</v>
      </c>
      <c r="B23" s="47" t="s">
        <v>160</v>
      </c>
      <c r="C23" s="41">
        <v>40</v>
      </c>
      <c r="D23" s="42">
        <f>7.76*C23/100</f>
        <v>3.1039999999999996</v>
      </c>
      <c r="E23" s="42">
        <f>2.65*C23/100</f>
        <v>1.06</v>
      </c>
      <c r="F23" s="42">
        <f>53.25*C23/100</f>
        <v>21.3</v>
      </c>
      <c r="G23" s="42">
        <f>273*C23/100</f>
        <v>109.2</v>
      </c>
      <c r="H23" s="42">
        <f>0.34*C23/100</f>
        <v>0.13600000000000001</v>
      </c>
      <c r="I23" s="42">
        <f>0*C23/100</f>
        <v>0</v>
      </c>
      <c r="J23" s="42">
        <v>0</v>
      </c>
      <c r="K23" s="42">
        <f>1.5*C23/100</f>
        <v>0.6</v>
      </c>
      <c r="L23" s="48">
        <f>148.1*C23/100</f>
        <v>59.24</v>
      </c>
      <c r="M23" s="48">
        <f>0*C23/100</f>
        <v>0</v>
      </c>
      <c r="N23" s="48">
        <f>16*C23/100</f>
        <v>6.4</v>
      </c>
      <c r="O23" s="42">
        <f>2.4*C23/100</f>
        <v>0.96</v>
      </c>
      <c r="P23" s="56">
        <f>0.2*C23/100</f>
        <v>0.08</v>
      </c>
      <c r="Q23" s="56">
        <f>1.5*C23/100</f>
        <v>0.6</v>
      </c>
      <c r="R23" s="67">
        <v>200102</v>
      </c>
      <c r="S23" s="67"/>
    </row>
    <row r="24" spans="1:19" s="63" customFormat="1" x14ac:dyDescent="0.2">
      <c r="A24" s="49">
        <v>8</v>
      </c>
      <c r="B24" s="47" t="s">
        <v>159</v>
      </c>
      <c r="C24" s="41">
        <v>20</v>
      </c>
      <c r="D24" s="42">
        <f>5.86*C24/100</f>
        <v>1.1719999999999999</v>
      </c>
      <c r="E24" s="42">
        <f>0.94*C24/100</f>
        <v>0.18799999999999997</v>
      </c>
      <c r="F24" s="42">
        <f>44.4*C24/100</f>
        <v>8.8800000000000008</v>
      </c>
      <c r="G24" s="42">
        <f>189*C24/100</f>
        <v>37.799999999999997</v>
      </c>
      <c r="H24" s="42">
        <f>0.4*C24/100</f>
        <v>0.08</v>
      </c>
      <c r="I24" s="42">
        <f>0.03*C24/100</f>
        <v>6.0000000000000001E-3</v>
      </c>
      <c r="J24" s="42">
        <v>0</v>
      </c>
      <c r="K24" s="42">
        <f>1.7*C24/100</f>
        <v>0.34</v>
      </c>
      <c r="L24" s="48">
        <f>25.4*C24/100</f>
        <v>5.08</v>
      </c>
      <c r="M24" s="48">
        <f>105.53*C24/100</f>
        <v>21.105999999999998</v>
      </c>
      <c r="N24" s="48">
        <f>36.5*C24/100</f>
        <v>7.3</v>
      </c>
      <c r="O24" s="42">
        <f>2.45*C24/100</f>
        <v>0.49</v>
      </c>
      <c r="P24" s="56">
        <f>0.2*C24/100</f>
        <v>0.04</v>
      </c>
      <c r="Q24" s="56">
        <f>10*C24/100</f>
        <v>2</v>
      </c>
      <c r="R24" s="67">
        <v>200103</v>
      </c>
      <c r="S24" s="67"/>
    </row>
    <row r="25" spans="1:19" s="63" customFormat="1" x14ac:dyDescent="0.2">
      <c r="A25" s="49">
        <v>8</v>
      </c>
      <c r="B25" s="47" t="s">
        <v>285</v>
      </c>
      <c r="C25" s="41">
        <v>20</v>
      </c>
      <c r="D25" s="42">
        <f>20.5*C25/100</f>
        <v>4.0999999999999996</v>
      </c>
      <c r="E25" s="42">
        <f>11.5*C25/100</f>
        <v>2.2999999999999998</v>
      </c>
      <c r="F25" s="42">
        <f>66*C25/100</f>
        <v>13.2</v>
      </c>
      <c r="G25" s="42">
        <f>470*C25/100</f>
        <v>94</v>
      </c>
      <c r="H25" s="42">
        <f>2*C25/100</f>
        <v>0.4</v>
      </c>
      <c r="I25" s="42">
        <f>56*C25/100</f>
        <v>11.2</v>
      </c>
      <c r="J25" s="42">
        <f t="shared" ref="J25:Q25" si="1">11.5*H25/100</f>
        <v>4.6000000000000006E-2</v>
      </c>
      <c r="K25" s="42">
        <v>0</v>
      </c>
      <c r="L25" s="42">
        <f>15.5*C25/100</f>
        <v>3.1</v>
      </c>
      <c r="M25" s="42">
        <f t="shared" si="1"/>
        <v>0</v>
      </c>
      <c r="N25" s="42">
        <f t="shared" si="1"/>
        <v>0.35649999999999998</v>
      </c>
      <c r="O25" s="42">
        <f>2*C25/100</f>
        <v>0.4</v>
      </c>
      <c r="P25" s="42">
        <f t="shared" si="1"/>
        <v>4.0997499999999999E-2</v>
      </c>
      <c r="Q25" s="42">
        <f t="shared" si="1"/>
        <v>4.6000000000000006E-2</v>
      </c>
      <c r="R25" s="233"/>
      <c r="S25" s="233"/>
    </row>
    <row r="26" spans="1:19" s="4" customFormat="1" ht="18.75" customHeight="1" x14ac:dyDescent="0.25">
      <c r="A26" s="49"/>
      <c r="B26" s="218" t="s">
        <v>4</v>
      </c>
      <c r="C26" s="120"/>
      <c r="D26" s="170">
        <f t="shared" ref="D26:Q26" si="2">SUM(D17:D25)</f>
        <v>34.161499999999997</v>
      </c>
      <c r="E26" s="170">
        <f t="shared" si="2"/>
        <v>28.366499999999998</v>
      </c>
      <c r="F26" s="170">
        <f t="shared" si="2"/>
        <v>131.01299999999998</v>
      </c>
      <c r="G26" s="170">
        <f t="shared" si="2"/>
        <v>969.29499999999996</v>
      </c>
      <c r="H26" s="170">
        <f t="shared" si="2"/>
        <v>0.97599999999999998</v>
      </c>
      <c r="I26" s="170">
        <f t="shared" si="2"/>
        <v>27.206</v>
      </c>
      <c r="J26" s="170">
        <f t="shared" si="2"/>
        <v>0.13100000000000001</v>
      </c>
      <c r="K26" s="170">
        <f t="shared" si="2"/>
        <v>2.5079999999999996</v>
      </c>
      <c r="L26" s="170">
        <f t="shared" si="2"/>
        <v>233.66499999999999</v>
      </c>
      <c r="M26" s="170">
        <f t="shared" si="2"/>
        <v>510.38499999999999</v>
      </c>
      <c r="N26" s="170">
        <f t="shared" si="2"/>
        <v>129.55050000000003</v>
      </c>
      <c r="O26" s="170">
        <f t="shared" si="2"/>
        <v>5.5832000000000006</v>
      </c>
      <c r="P26" s="170">
        <f t="shared" si="2"/>
        <v>0.51249750000000005</v>
      </c>
      <c r="Q26" s="170">
        <f t="shared" si="2"/>
        <v>67.786000000000001</v>
      </c>
      <c r="R26" s="67"/>
      <c r="S26" s="122"/>
    </row>
    <row r="27" spans="1:19" s="4" customFormat="1" ht="19.5" customHeight="1" x14ac:dyDescent="0.25">
      <c r="A27" s="314" t="s">
        <v>35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43"/>
    </row>
    <row r="28" spans="1:19" s="63" customFormat="1" ht="31.5" x14ac:dyDescent="0.2">
      <c r="A28" s="49">
        <v>1</v>
      </c>
      <c r="B28" s="47" t="s">
        <v>143</v>
      </c>
      <c r="C28" s="41">
        <v>50</v>
      </c>
      <c r="D28" s="60">
        <f>8*C28/100</f>
        <v>4</v>
      </c>
      <c r="E28" s="60">
        <f>5.5*C28/100</f>
        <v>2.75</v>
      </c>
      <c r="F28" s="60">
        <f>54.6*C28/100</f>
        <v>27.3</v>
      </c>
      <c r="G28" s="60">
        <f>299.9*C28/100</f>
        <v>149.94999999999999</v>
      </c>
      <c r="H28" s="42">
        <f>0.09*C28/100</f>
        <v>4.4999999999999998E-2</v>
      </c>
      <c r="I28" s="42">
        <f>0.62*C28/100</f>
        <v>0.31</v>
      </c>
      <c r="J28" s="42">
        <f>0.01*C28/100</f>
        <v>5.0000000000000001E-3</v>
      </c>
      <c r="K28" s="42">
        <f>2.49*C28/100</f>
        <v>1.2450000000000001</v>
      </c>
      <c r="L28" s="48">
        <f>11.38*C28/100</f>
        <v>5.69</v>
      </c>
      <c r="M28" s="48">
        <f>37.2*C28/100</f>
        <v>18.600000000000001</v>
      </c>
      <c r="N28" s="48">
        <f>9.87*C28/100</f>
        <v>4.9349999999999996</v>
      </c>
      <c r="O28" s="42">
        <f>0.62*C28/100</f>
        <v>0.31</v>
      </c>
      <c r="P28" s="49">
        <f>0.03*C28/100</f>
        <v>1.4999999999999999E-2</v>
      </c>
      <c r="Q28" s="49">
        <f>6.56*C28/100</f>
        <v>3.28</v>
      </c>
      <c r="R28" s="183" t="s">
        <v>253</v>
      </c>
      <c r="S28" s="67">
        <v>190303</v>
      </c>
    </row>
    <row r="29" spans="1:19" s="37" customFormat="1" x14ac:dyDescent="0.2">
      <c r="A29" s="49">
        <v>2</v>
      </c>
      <c r="B29" s="47" t="s">
        <v>145</v>
      </c>
      <c r="C29" s="41">
        <v>200</v>
      </c>
      <c r="D29" s="94">
        <f>2.8*C29/100</f>
        <v>5.6</v>
      </c>
      <c r="E29" s="94">
        <f>2.9*C29/100</f>
        <v>5.8</v>
      </c>
      <c r="F29" s="94">
        <f>10.5*C29/100</f>
        <v>21</v>
      </c>
      <c r="G29" s="94">
        <f>79.3*C29/100</f>
        <v>158.6</v>
      </c>
      <c r="H29" s="42">
        <f>0.04*C29/100</f>
        <v>0.08</v>
      </c>
      <c r="I29" s="42">
        <f>0.6*C29/100</f>
        <v>1.2</v>
      </c>
      <c r="J29" s="42">
        <f>0.03*C29/100</f>
        <v>0.06</v>
      </c>
      <c r="K29" s="42">
        <f>0*C29/100</f>
        <v>0</v>
      </c>
      <c r="L29" s="48">
        <f>122*C29/100</f>
        <v>244</v>
      </c>
      <c r="M29" s="48">
        <f>96*C29/100</f>
        <v>192</v>
      </c>
      <c r="N29" s="48">
        <f>15*C29/100</f>
        <v>30</v>
      </c>
      <c r="O29" s="42">
        <f>0.09*C29/100</f>
        <v>0.18</v>
      </c>
      <c r="P29" s="49">
        <v>0.2</v>
      </c>
      <c r="Q29" s="49">
        <v>9</v>
      </c>
      <c r="R29" s="67"/>
      <c r="S29" s="67"/>
    </row>
    <row r="30" spans="1:19" s="5" customFormat="1" ht="20.25" customHeight="1" x14ac:dyDescent="0.2">
      <c r="A30" s="108"/>
      <c r="B30" s="219" t="s">
        <v>4</v>
      </c>
      <c r="C30" s="109"/>
      <c r="D30" s="110">
        <f t="shared" ref="D30:Q30" si="3">SUM(D28:D29)</f>
        <v>9.6</v>
      </c>
      <c r="E30" s="110">
        <f t="shared" si="3"/>
        <v>8.5500000000000007</v>
      </c>
      <c r="F30" s="110">
        <f t="shared" si="3"/>
        <v>48.3</v>
      </c>
      <c r="G30" s="111">
        <f t="shared" si="3"/>
        <v>308.54999999999995</v>
      </c>
      <c r="H30" s="112">
        <f t="shared" si="3"/>
        <v>0.125</v>
      </c>
      <c r="I30" s="110">
        <f t="shared" si="3"/>
        <v>1.51</v>
      </c>
      <c r="J30" s="110">
        <f t="shared" si="3"/>
        <v>6.5000000000000002E-2</v>
      </c>
      <c r="K30" s="110">
        <f t="shared" si="3"/>
        <v>1.2450000000000001</v>
      </c>
      <c r="L30" s="110">
        <f t="shared" si="3"/>
        <v>249.69</v>
      </c>
      <c r="M30" s="110">
        <f t="shared" si="3"/>
        <v>210.6</v>
      </c>
      <c r="N30" s="110">
        <f t="shared" si="3"/>
        <v>34.935000000000002</v>
      </c>
      <c r="O30" s="111">
        <f t="shared" si="3"/>
        <v>0.49</v>
      </c>
      <c r="P30" s="125">
        <f t="shared" si="3"/>
        <v>0.21500000000000002</v>
      </c>
      <c r="Q30" s="125">
        <f t="shared" si="3"/>
        <v>12.28</v>
      </c>
      <c r="R30" s="67"/>
      <c r="S30" s="51"/>
    </row>
    <row r="31" spans="1:19" s="4" customFormat="1" ht="19.5" thickBot="1" x14ac:dyDescent="0.3">
      <c r="A31" s="97"/>
      <c r="B31" s="100" t="s">
        <v>7</v>
      </c>
      <c r="C31" s="101"/>
      <c r="D31" s="102">
        <f t="shared" ref="D31:Q31" si="4">D15+D26+D30</f>
        <v>69.076499999999996</v>
      </c>
      <c r="E31" s="102">
        <f t="shared" si="4"/>
        <v>57.746499999999997</v>
      </c>
      <c r="F31" s="102">
        <f t="shared" si="4"/>
        <v>258.178</v>
      </c>
      <c r="G31" s="113">
        <f t="shared" si="4"/>
        <v>1882.8050000000001</v>
      </c>
      <c r="H31" s="114">
        <f t="shared" si="4"/>
        <v>1.7240000000000002</v>
      </c>
      <c r="I31" s="102">
        <f t="shared" si="4"/>
        <v>55.775999999999996</v>
      </c>
      <c r="J31" s="102">
        <f t="shared" si="4"/>
        <v>0.27200000000000002</v>
      </c>
      <c r="K31" s="102">
        <f t="shared" si="4"/>
        <v>4.3929999999999998</v>
      </c>
      <c r="L31" s="102">
        <f t="shared" si="4"/>
        <v>791.27500000000009</v>
      </c>
      <c r="M31" s="102">
        <f t="shared" si="4"/>
        <v>969.21500000000003</v>
      </c>
      <c r="N31" s="102">
        <f t="shared" si="4"/>
        <v>224.57550000000003</v>
      </c>
      <c r="O31" s="103">
        <f t="shared" si="4"/>
        <v>8.2832000000000008</v>
      </c>
      <c r="P31" s="103">
        <f t="shared" si="4"/>
        <v>0.87749750000000004</v>
      </c>
      <c r="Q31" s="247">
        <f t="shared" si="4"/>
        <v>97.146000000000001</v>
      </c>
      <c r="R31" s="247"/>
      <c r="S31" s="105"/>
    </row>
    <row r="32" spans="1:19" s="4" customFormat="1" ht="19.5" customHeight="1" thickBot="1" x14ac:dyDescent="0.3">
      <c r="A32" s="355" t="s">
        <v>42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3"/>
      <c r="R32" s="353"/>
      <c r="S32" s="357"/>
    </row>
    <row r="33" spans="1:19" s="4" customFormat="1" ht="19.5" customHeight="1" x14ac:dyDescent="0.25">
      <c r="A33" s="349" t="s">
        <v>3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1"/>
    </row>
    <row r="34" spans="1:19" s="63" customFormat="1" x14ac:dyDescent="0.2">
      <c r="A34" s="49">
        <v>1</v>
      </c>
      <c r="B34" s="47" t="s">
        <v>14</v>
      </c>
      <c r="C34" s="41">
        <v>150</v>
      </c>
      <c r="D34" s="176">
        <f>14.2*C34/100</f>
        <v>21.3</v>
      </c>
      <c r="E34" s="176">
        <f>9.6*C34/100</f>
        <v>14.4</v>
      </c>
      <c r="F34" s="176">
        <f>14.4*C34/100</f>
        <v>21.6</v>
      </c>
      <c r="G34" s="176">
        <f>200.8*C34/100</f>
        <v>301.2</v>
      </c>
      <c r="H34" s="42">
        <f>0.06*C34/100</f>
        <v>0.09</v>
      </c>
      <c r="I34" s="42">
        <f>0.22*C34/100</f>
        <v>0.33</v>
      </c>
      <c r="J34" s="42">
        <f>0.07*C34/100</f>
        <v>0.10500000000000002</v>
      </c>
      <c r="K34" s="42">
        <f>0.44*C34/100</f>
        <v>0.66</v>
      </c>
      <c r="L34" s="48">
        <f>140.96*C34/100</f>
        <v>211.44</v>
      </c>
      <c r="M34" s="48">
        <f>205.55*C34/100</f>
        <v>308.32499999999999</v>
      </c>
      <c r="N34" s="48">
        <f>20.84*C34/100</f>
        <v>31.26</v>
      </c>
      <c r="O34" s="42">
        <f>0.66*C34/100</f>
        <v>0.99</v>
      </c>
      <c r="P34" s="49">
        <f>0.25*C34/100</f>
        <v>0.375</v>
      </c>
      <c r="Q34" s="49">
        <f>1.61*C34/100</f>
        <v>2.4150000000000005</v>
      </c>
      <c r="R34" s="67">
        <v>120313</v>
      </c>
      <c r="S34" s="67">
        <v>120314</v>
      </c>
    </row>
    <row r="35" spans="1:19" s="64" customFormat="1" ht="19.5" customHeight="1" x14ac:dyDescent="0.25">
      <c r="A35" s="49">
        <v>2</v>
      </c>
      <c r="B35" s="47" t="s">
        <v>191</v>
      </c>
      <c r="C35" s="41">
        <v>20</v>
      </c>
      <c r="D35" s="116">
        <f>2*C35/100</f>
        <v>0.4</v>
      </c>
      <c r="E35" s="116">
        <f>5.2*C35/100</f>
        <v>1.04</v>
      </c>
      <c r="F35" s="116">
        <f>6.9*C35/100</f>
        <v>1.38</v>
      </c>
      <c r="G35" s="116">
        <f>84*C35/100</f>
        <v>16.8</v>
      </c>
      <c r="H35" s="42">
        <f>0.05*C35/100</f>
        <v>0.01</v>
      </c>
      <c r="I35" s="42">
        <f>0.36*C35/100</f>
        <v>7.1999999999999995E-2</v>
      </c>
      <c r="J35" s="42">
        <f>0.07*C35/100</f>
        <v>1.4000000000000002E-2</v>
      </c>
      <c r="K35" s="42">
        <f>1.52*C35/100</f>
        <v>0.30399999999999999</v>
      </c>
      <c r="L35" s="48">
        <f>126.98*C35/100</f>
        <v>25.396000000000001</v>
      </c>
      <c r="M35" s="48">
        <f>181.58*C35/100</f>
        <v>36.316000000000003</v>
      </c>
      <c r="N35" s="48">
        <f>19.59*C35/100</f>
        <v>3.9180000000000001</v>
      </c>
      <c r="O35" s="42">
        <f>0.6*C35/100</f>
        <v>0.12</v>
      </c>
      <c r="P35" s="49">
        <v>0.25</v>
      </c>
      <c r="Q35" s="49">
        <v>0.48</v>
      </c>
      <c r="R35" s="53"/>
      <c r="S35" s="131">
        <v>140202</v>
      </c>
    </row>
    <row r="36" spans="1:19" s="63" customFormat="1" x14ac:dyDescent="0.2">
      <c r="A36" s="49">
        <v>3</v>
      </c>
      <c r="B36" s="47" t="s">
        <v>233</v>
      </c>
      <c r="C36" s="41">
        <v>200</v>
      </c>
      <c r="D36" s="171">
        <f>0*C36/100</f>
        <v>0</v>
      </c>
      <c r="E36" s="171">
        <f>0*C36/100</f>
        <v>0</v>
      </c>
      <c r="F36" s="171">
        <f>0*C36/100</f>
        <v>0</v>
      </c>
      <c r="G36" s="171">
        <f>17*C36/100</f>
        <v>34</v>
      </c>
      <c r="H36" s="42">
        <v>0</v>
      </c>
      <c r="I36" s="42">
        <v>0</v>
      </c>
      <c r="J36" s="42">
        <v>0</v>
      </c>
      <c r="K36" s="42">
        <v>0</v>
      </c>
      <c r="L36" s="48">
        <v>4.8600000000000003</v>
      </c>
      <c r="M36" s="48">
        <v>0</v>
      </c>
      <c r="N36" s="48">
        <v>1.08</v>
      </c>
      <c r="O36" s="42">
        <v>0</v>
      </c>
      <c r="P36" s="49">
        <v>0</v>
      </c>
      <c r="Q36" s="49">
        <v>0</v>
      </c>
      <c r="R36" s="67">
        <v>160107</v>
      </c>
      <c r="S36" s="67"/>
    </row>
    <row r="37" spans="1:19" s="63" customFormat="1" x14ac:dyDescent="0.3">
      <c r="A37" s="49">
        <v>4</v>
      </c>
      <c r="B37" s="47" t="s">
        <v>140</v>
      </c>
      <c r="C37" s="41">
        <v>10</v>
      </c>
      <c r="D37" s="171">
        <f>0*C37/100</f>
        <v>0</v>
      </c>
      <c r="E37" s="171">
        <f>0*C37/100</f>
        <v>0</v>
      </c>
      <c r="F37" s="171">
        <f>99.8*C37/100</f>
        <v>9.98</v>
      </c>
      <c r="G37" s="171">
        <f>374.3*C37/100</f>
        <v>37.43</v>
      </c>
      <c r="H37" s="42">
        <v>0</v>
      </c>
      <c r="I37" s="42">
        <v>0</v>
      </c>
      <c r="J37" s="42">
        <v>0</v>
      </c>
      <c r="K37" s="42">
        <v>0</v>
      </c>
      <c r="L37" s="42">
        <v>0.2</v>
      </c>
      <c r="M37" s="42">
        <v>0</v>
      </c>
      <c r="N37" s="42">
        <v>0</v>
      </c>
      <c r="O37" s="42">
        <v>0.03</v>
      </c>
      <c r="P37" s="55">
        <v>0</v>
      </c>
      <c r="Q37" s="55">
        <v>0</v>
      </c>
      <c r="R37" s="67"/>
      <c r="S37" s="67"/>
    </row>
    <row r="38" spans="1:19" s="63" customFormat="1" x14ac:dyDescent="0.2">
      <c r="A38" s="49">
        <v>5</v>
      </c>
      <c r="B38" s="47" t="s">
        <v>160</v>
      </c>
      <c r="C38" s="41">
        <v>20</v>
      </c>
      <c r="D38" s="42">
        <f>7.76*C38/100</f>
        <v>1.5519999999999998</v>
      </c>
      <c r="E38" s="42">
        <f>2.65*C38/100</f>
        <v>0.53</v>
      </c>
      <c r="F38" s="42">
        <f>53.25*C38/100</f>
        <v>10.65</v>
      </c>
      <c r="G38" s="42">
        <f>273*C38/100</f>
        <v>54.6</v>
      </c>
      <c r="H38" s="42">
        <f>0.34*C38/100</f>
        <v>6.8000000000000005E-2</v>
      </c>
      <c r="I38" s="42">
        <f>0*C38/100</f>
        <v>0</v>
      </c>
      <c r="J38" s="42">
        <v>0</v>
      </c>
      <c r="K38" s="42">
        <f>1.5*C38/100</f>
        <v>0.3</v>
      </c>
      <c r="L38" s="48">
        <f>148.1*C38/100</f>
        <v>29.62</v>
      </c>
      <c r="M38" s="48">
        <f>0*C38/100</f>
        <v>0</v>
      </c>
      <c r="N38" s="48">
        <f>16*C38/100</f>
        <v>3.2</v>
      </c>
      <c r="O38" s="42">
        <f>2.4*C38/100</f>
        <v>0.48</v>
      </c>
      <c r="P38" s="56">
        <f>0.2*C38/100</f>
        <v>0.04</v>
      </c>
      <c r="Q38" s="56">
        <f>1.5*C38/100</f>
        <v>0.3</v>
      </c>
      <c r="R38" s="67">
        <v>200102</v>
      </c>
      <c r="S38" s="67"/>
    </row>
    <row r="39" spans="1:19" s="63" customFormat="1" ht="37.5" x14ac:dyDescent="0.2">
      <c r="A39" s="49">
        <v>6</v>
      </c>
      <c r="B39" s="47" t="s">
        <v>164</v>
      </c>
      <c r="C39" s="41">
        <v>10</v>
      </c>
      <c r="D39" s="42">
        <f>0.5*C39/100</f>
        <v>0.05</v>
      </c>
      <c r="E39" s="42">
        <f>82.5*C39/100</f>
        <v>8.25</v>
      </c>
      <c r="F39" s="42">
        <f>0.8*C39/100</f>
        <v>0.08</v>
      </c>
      <c r="G39" s="42">
        <f>748*C39/100</f>
        <v>74.8</v>
      </c>
      <c r="H39" s="42">
        <v>0</v>
      </c>
      <c r="I39" s="42">
        <v>0</v>
      </c>
      <c r="J39" s="42">
        <f>0.4*C39/100</f>
        <v>0.04</v>
      </c>
      <c r="K39" s="42">
        <f>1*C39/100</f>
        <v>0.1</v>
      </c>
      <c r="L39" s="48">
        <f>12*C39/100</f>
        <v>1.2</v>
      </c>
      <c r="M39" s="48">
        <f>19*C39/100</f>
        <v>1.9</v>
      </c>
      <c r="N39" s="48">
        <f>0*C39/100</f>
        <v>0</v>
      </c>
      <c r="O39" s="42">
        <f>0.2*C39/100</f>
        <v>0.02</v>
      </c>
      <c r="P39" s="56">
        <f>0.1*C39/100</f>
        <v>0.01</v>
      </c>
      <c r="Q39" s="49">
        <v>0</v>
      </c>
      <c r="R39" s="67"/>
      <c r="S39" s="67"/>
    </row>
    <row r="40" spans="1:19" s="46" customFormat="1" ht="18.75" customHeight="1" x14ac:dyDescent="0.3">
      <c r="A40" s="49">
        <v>7</v>
      </c>
      <c r="B40" s="47" t="s">
        <v>232</v>
      </c>
      <c r="C40" s="41" t="s">
        <v>274</v>
      </c>
      <c r="D40" s="42">
        <v>0.56000000000000005</v>
      </c>
      <c r="E40" s="42">
        <v>0.56000000000000005</v>
      </c>
      <c r="F40" s="42">
        <v>13.72</v>
      </c>
      <c r="G40" s="42">
        <v>65.8</v>
      </c>
      <c r="H40" s="42">
        <v>4.2000000000000003E-2</v>
      </c>
      <c r="I40" s="42">
        <v>14</v>
      </c>
      <c r="J40" s="42">
        <v>0</v>
      </c>
      <c r="K40" s="42">
        <v>0.28000000000000003</v>
      </c>
      <c r="L40" s="42">
        <v>22.4</v>
      </c>
      <c r="M40" s="42">
        <v>15.4</v>
      </c>
      <c r="N40" s="42">
        <v>12.6</v>
      </c>
      <c r="O40" s="42">
        <v>2.8000000000000004E-3</v>
      </c>
      <c r="P40" s="55">
        <v>2.8000000000000004E-2</v>
      </c>
      <c r="Q40" s="49">
        <f>2*140/100</f>
        <v>2.8</v>
      </c>
      <c r="R40" s="122">
        <v>210110</v>
      </c>
      <c r="S40" s="122"/>
    </row>
    <row r="41" spans="1:19" s="4" customFormat="1" ht="18.75" customHeight="1" x14ac:dyDescent="0.25">
      <c r="A41" s="49"/>
      <c r="B41" s="218" t="s">
        <v>4</v>
      </c>
      <c r="C41" s="120"/>
      <c r="D41" s="172">
        <f t="shared" ref="D41:Q41" si="5">SUM(D34:D40)</f>
        <v>23.861999999999998</v>
      </c>
      <c r="E41" s="172">
        <f t="shared" si="5"/>
        <v>24.779999999999998</v>
      </c>
      <c r="F41" s="172">
        <f t="shared" si="5"/>
        <v>57.41</v>
      </c>
      <c r="G41" s="172">
        <f t="shared" si="5"/>
        <v>584.63</v>
      </c>
      <c r="H41" s="172">
        <f t="shared" si="5"/>
        <v>0.21</v>
      </c>
      <c r="I41" s="172">
        <f t="shared" si="5"/>
        <v>14.401999999999999</v>
      </c>
      <c r="J41" s="172">
        <f t="shared" si="5"/>
        <v>0.15900000000000003</v>
      </c>
      <c r="K41" s="172">
        <f t="shared" si="5"/>
        <v>1.6440000000000001</v>
      </c>
      <c r="L41" s="172">
        <f t="shared" si="5"/>
        <v>295.11599999999999</v>
      </c>
      <c r="M41" s="172">
        <f t="shared" si="5"/>
        <v>361.94099999999992</v>
      </c>
      <c r="N41" s="172">
        <f t="shared" si="5"/>
        <v>52.058000000000007</v>
      </c>
      <c r="O41" s="172">
        <f t="shared" si="5"/>
        <v>1.6427999999999998</v>
      </c>
      <c r="P41" s="172">
        <f t="shared" si="5"/>
        <v>0.70300000000000007</v>
      </c>
      <c r="Q41" s="172">
        <f t="shared" si="5"/>
        <v>5.9950000000000001</v>
      </c>
      <c r="R41" s="122"/>
      <c r="S41" s="122"/>
    </row>
    <row r="42" spans="1:19" s="4" customFormat="1" x14ac:dyDescent="0.25">
      <c r="A42" s="117"/>
      <c r="B42" s="315" t="s">
        <v>5</v>
      </c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43"/>
    </row>
    <row r="43" spans="1:19" s="63" customFormat="1" ht="37.5" x14ac:dyDescent="0.2">
      <c r="A43" s="49">
        <v>1</v>
      </c>
      <c r="B43" s="47" t="s">
        <v>144</v>
      </c>
      <c r="C43" s="41">
        <v>60</v>
      </c>
      <c r="D43" s="42">
        <f>1.62*C43/100</f>
        <v>0.97199999999999998</v>
      </c>
      <c r="E43" s="42">
        <f>10.08*C43/100</f>
        <v>6.0479999999999992</v>
      </c>
      <c r="F43" s="42">
        <f>9.55*C43/100</f>
        <v>5.73</v>
      </c>
      <c r="G43" s="42">
        <f>136.44*C43/100</f>
        <v>81.86399999999999</v>
      </c>
      <c r="H43" s="42">
        <f>0.03*C43/100</f>
        <v>1.7999999999999999E-2</v>
      </c>
      <c r="I43" s="42">
        <f>26.7*C43/100</f>
        <v>16.02</v>
      </c>
      <c r="J43" s="42">
        <v>0</v>
      </c>
      <c r="K43" s="42">
        <f>1.88*C43/100</f>
        <v>1.1279999999999999</v>
      </c>
      <c r="L43" s="48">
        <f>45.72*C43/100</f>
        <v>27.431999999999999</v>
      </c>
      <c r="M43" s="48">
        <f>31.46*C43/100</f>
        <v>18.876000000000001</v>
      </c>
      <c r="N43" s="48">
        <f>17.33*C43/100</f>
        <v>10.398</v>
      </c>
      <c r="O43" s="42">
        <f>0.61*C43/100</f>
        <v>0.36599999999999999</v>
      </c>
      <c r="P43" s="49">
        <f>0.04*C43/100</f>
        <v>2.4E-2</v>
      </c>
      <c r="Q43" s="49">
        <v>1.47</v>
      </c>
      <c r="R43" s="67">
        <v>100201</v>
      </c>
      <c r="S43" s="67"/>
    </row>
    <row r="44" spans="1:19" s="63" customFormat="1" x14ac:dyDescent="0.2">
      <c r="A44" s="49">
        <v>2</v>
      </c>
      <c r="B44" s="47" t="s">
        <v>173</v>
      </c>
      <c r="C44" s="41">
        <v>250</v>
      </c>
      <c r="D44" s="42">
        <f>2.9*C44/100</f>
        <v>7.25</v>
      </c>
      <c r="E44" s="42">
        <f>2.9*C44/100</f>
        <v>7.25</v>
      </c>
      <c r="F44" s="42">
        <f>0.34*C44/100</f>
        <v>0.85</v>
      </c>
      <c r="G44" s="42">
        <f>39.1*C44/100</f>
        <v>97.75</v>
      </c>
      <c r="H44" s="42">
        <f>0.04*C44/100</f>
        <v>0.1</v>
      </c>
      <c r="I44" s="42">
        <f>0.71*C44/100</f>
        <v>1.7749999999999999</v>
      </c>
      <c r="J44" s="42">
        <f>0.02*C44/100</f>
        <v>0.05</v>
      </c>
      <c r="K44" s="42">
        <f>0.15*C44/100</f>
        <v>0.375</v>
      </c>
      <c r="L44" s="48">
        <f>25.76*C44/100</f>
        <v>64.400000000000006</v>
      </c>
      <c r="M44" s="48">
        <f>49.97*C44/100</f>
        <v>124.925</v>
      </c>
      <c r="N44" s="48">
        <f>8.11*C44/100</f>
        <v>20.274999999999999</v>
      </c>
      <c r="O44" s="42">
        <f>0.33*C44/100</f>
        <v>0.82499999999999996</v>
      </c>
      <c r="P44" s="49">
        <f>0.05*C44/100</f>
        <v>0.125</v>
      </c>
      <c r="Q44" s="49">
        <f>3.65*C44/100</f>
        <v>9.125</v>
      </c>
      <c r="R44" s="67">
        <v>110407</v>
      </c>
      <c r="S44" s="177">
        <v>110408</v>
      </c>
    </row>
    <row r="45" spans="1:19" s="63" customFormat="1" x14ac:dyDescent="0.2">
      <c r="A45" s="49">
        <v>3</v>
      </c>
      <c r="B45" s="47" t="s">
        <v>124</v>
      </c>
      <c r="C45" s="41">
        <v>10</v>
      </c>
      <c r="D45" s="42">
        <f>11.1*C45/100</f>
        <v>1.1100000000000001</v>
      </c>
      <c r="E45" s="42">
        <f>3.79*C45/100</f>
        <v>0.379</v>
      </c>
      <c r="F45" s="42">
        <f>76.15*C45/100</f>
        <v>7.6150000000000002</v>
      </c>
      <c r="G45" s="42">
        <f>390.39*C45/100</f>
        <v>39.038999999999994</v>
      </c>
      <c r="H45" s="42">
        <f>0.61*C45/100</f>
        <v>6.0999999999999999E-2</v>
      </c>
      <c r="I45" s="42">
        <f>0*C45/100</f>
        <v>0</v>
      </c>
      <c r="J45" s="42">
        <f>0*C45/100</f>
        <v>0</v>
      </c>
      <c r="K45" s="42">
        <f>0*C45/100</f>
        <v>0</v>
      </c>
      <c r="L45" s="48">
        <f>211.78*C45/100</f>
        <v>21.178000000000001</v>
      </c>
      <c r="M45" s="48">
        <f>0.25*C45/100</f>
        <v>2.5000000000000001E-2</v>
      </c>
      <c r="N45" s="48">
        <f>22.8*C45/100</f>
        <v>2.2799999999999998</v>
      </c>
      <c r="O45" s="42">
        <f>0.002*C45/100</f>
        <v>2.0000000000000001E-4</v>
      </c>
      <c r="P45" s="49">
        <f>0.44*C45/100</f>
        <v>4.4000000000000004E-2</v>
      </c>
      <c r="Q45" s="49">
        <v>0</v>
      </c>
      <c r="R45" s="67">
        <v>180601</v>
      </c>
      <c r="S45" s="67"/>
    </row>
    <row r="46" spans="1:19" s="63" customFormat="1" x14ac:dyDescent="0.2">
      <c r="A46" s="49">
        <v>4</v>
      </c>
      <c r="B46" s="47" t="s">
        <v>115</v>
      </c>
      <c r="C46" s="41">
        <v>80</v>
      </c>
      <c r="D46" s="42">
        <f>20.6*C46/100</f>
        <v>16.48</v>
      </c>
      <c r="E46" s="42">
        <f>4.8*C46/100</f>
        <v>3.84</v>
      </c>
      <c r="F46" s="42">
        <f>8.5*C46/100</f>
        <v>6.8</v>
      </c>
      <c r="G46" s="42">
        <f>159.6*C46/100</f>
        <v>127.68</v>
      </c>
      <c r="H46" s="42">
        <f>0.18*C46/100</f>
        <v>0.14399999999999999</v>
      </c>
      <c r="I46" s="42">
        <f>7.71*C46/100</f>
        <v>6.1679999999999993</v>
      </c>
      <c r="J46" s="42">
        <f>5.01*C46/100</f>
        <v>4.0079999999999991</v>
      </c>
      <c r="K46" s="42">
        <f>0.89*C46/100</f>
        <v>0.71200000000000008</v>
      </c>
      <c r="L46" s="48">
        <f>32.18*C46/100</f>
        <v>25.744</v>
      </c>
      <c r="M46" s="48">
        <f>244.98*C46/100</f>
        <v>195.98399999999998</v>
      </c>
      <c r="N46" s="48">
        <f>16.68*C46/100</f>
        <v>13.344000000000001</v>
      </c>
      <c r="O46" s="42">
        <f>4.95*C46/100</f>
        <v>3.96</v>
      </c>
      <c r="P46" s="49">
        <f>1.4*C46/100</f>
        <v>1.1200000000000001</v>
      </c>
      <c r="Q46" s="49">
        <v>4.54</v>
      </c>
      <c r="R46" s="67">
        <v>120515</v>
      </c>
      <c r="S46" s="183">
        <v>120516</v>
      </c>
    </row>
    <row r="47" spans="1:19" s="63" customFormat="1" x14ac:dyDescent="0.2">
      <c r="A47" s="49">
        <v>5</v>
      </c>
      <c r="B47" s="47" t="s">
        <v>116</v>
      </c>
      <c r="C47" s="41">
        <v>30</v>
      </c>
      <c r="D47" s="60">
        <f>1.4*C47/100</f>
        <v>0.42</v>
      </c>
      <c r="E47" s="60">
        <f>5.2*C47/100</f>
        <v>1.56</v>
      </c>
      <c r="F47" s="60">
        <f>7.1*C47/100</f>
        <v>2.13</v>
      </c>
      <c r="G47" s="60">
        <f>80.8*C47/100</f>
        <v>24.24</v>
      </c>
      <c r="H47" s="42">
        <f>0.04*C47/100</f>
        <v>1.2E-2</v>
      </c>
      <c r="I47" s="42">
        <f>0.4*C47/100</f>
        <v>0.12</v>
      </c>
      <c r="J47" s="42">
        <f>0.12*C47/100</f>
        <v>3.5999999999999997E-2</v>
      </c>
      <c r="K47" s="42">
        <f>0.44*C47/100</f>
        <v>0.13200000000000001</v>
      </c>
      <c r="L47" s="48">
        <f>89.8*C47/100</f>
        <v>26.94</v>
      </c>
      <c r="M47" s="48">
        <f>67.7*C47/100</f>
        <v>20.309999999999999</v>
      </c>
      <c r="N47" s="48">
        <f>11.2*C47/100</f>
        <v>3.36</v>
      </c>
      <c r="O47" s="42">
        <f>0.31*C47/100</f>
        <v>9.3000000000000013E-2</v>
      </c>
      <c r="P47" s="49">
        <f>0.11*C47/100</f>
        <v>3.3000000000000002E-2</v>
      </c>
      <c r="Q47" s="49">
        <v>1.35</v>
      </c>
      <c r="R47" s="67">
        <v>140106</v>
      </c>
      <c r="S47" s="67">
        <v>140107</v>
      </c>
    </row>
    <row r="48" spans="1:19" s="63" customFormat="1" x14ac:dyDescent="0.2">
      <c r="A48" s="49">
        <v>6</v>
      </c>
      <c r="B48" s="47" t="s">
        <v>113</v>
      </c>
      <c r="C48" s="41">
        <v>150</v>
      </c>
      <c r="D48" s="42">
        <f>3.22*C48/100</f>
        <v>4.830000000000001</v>
      </c>
      <c r="E48" s="42">
        <f>4.825*C48/100</f>
        <v>7.2374999999999998</v>
      </c>
      <c r="F48" s="42">
        <f>21.9*C48/100</f>
        <v>32.85</v>
      </c>
      <c r="G48" s="42">
        <f>140.5*C48/100</f>
        <v>210.75</v>
      </c>
      <c r="H48" s="42">
        <f>0.14*C48/100</f>
        <v>0.21000000000000005</v>
      </c>
      <c r="I48" s="42">
        <f>0*C48/100</f>
        <v>0</v>
      </c>
      <c r="J48" s="42">
        <f>0.02*C48/100</f>
        <v>0.03</v>
      </c>
      <c r="K48" s="42">
        <f>0.05*C48/100</f>
        <v>7.4999999999999997E-2</v>
      </c>
      <c r="L48" s="48">
        <f>12.38*C48/100</f>
        <v>18.570000000000004</v>
      </c>
      <c r="M48" s="48">
        <f>132.35*C48/100</f>
        <v>198.52500000000001</v>
      </c>
      <c r="N48" s="48">
        <f>88.86*C48/100</f>
        <v>133.29</v>
      </c>
      <c r="O48" s="42">
        <f>2.97*C48/100</f>
        <v>4.455000000000001</v>
      </c>
      <c r="P48" s="49">
        <f>0.075*C48/100</f>
        <v>0.1125</v>
      </c>
      <c r="Q48" s="49">
        <f>0.34*C48/100</f>
        <v>0.51000000000000012</v>
      </c>
      <c r="R48" s="67">
        <v>130309</v>
      </c>
      <c r="S48" s="67">
        <v>130310</v>
      </c>
    </row>
    <row r="49" spans="1:19" s="64" customFormat="1" ht="42" customHeight="1" x14ac:dyDescent="0.3">
      <c r="A49" s="49">
        <v>7</v>
      </c>
      <c r="B49" s="47" t="s">
        <v>162</v>
      </c>
      <c r="C49" s="41">
        <v>200</v>
      </c>
      <c r="D49" s="42">
        <f>0.1*C49/100</f>
        <v>0.2</v>
      </c>
      <c r="E49" s="42">
        <f>0.04*C49/100</f>
        <v>0.08</v>
      </c>
      <c r="F49" s="42">
        <f>9.15*C49/100</f>
        <v>18.3</v>
      </c>
      <c r="G49" s="42">
        <f>28.46*C49/100</f>
        <v>56.92</v>
      </c>
      <c r="H49" s="42">
        <v>0</v>
      </c>
      <c r="I49" s="42">
        <f>20*C49/100</f>
        <v>40</v>
      </c>
      <c r="J49" s="42">
        <v>0</v>
      </c>
      <c r="K49" s="42">
        <f>0.07*C49/100</f>
        <v>0.14000000000000001</v>
      </c>
      <c r="L49" s="42">
        <f>9.75*C49/100</f>
        <v>19.5</v>
      </c>
      <c r="M49" s="42">
        <f>6.76*C49/100</f>
        <v>13.52</v>
      </c>
      <c r="N49" s="42">
        <f>4.05*C49/100</f>
        <v>8.1</v>
      </c>
      <c r="O49" s="42">
        <f>0.14*C49/100</f>
        <v>0.28000000000000003</v>
      </c>
      <c r="P49" s="55">
        <v>0</v>
      </c>
      <c r="Q49" s="55">
        <v>4.8899999999999997</v>
      </c>
      <c r="R49" s="67">
        <v>160203</v>
      </c>
      <c r="S49" s="122"/>
    </row>
    <row r="50" spans="1:19" s="63" customFormat="1" x14ac:dyDescent="0.2">
      <c r="A50" s="49">
        <v>8</v>
      </c>
      <c r="B50" s="47" t="s">
        <v>160</v>
      </c>
      <c r="C50" s="41">
        <v>40</v>
      </c>
      <c r="D50" s="42">
        <f>7.76*C50/100</f>
        <v>3.1039999999999996</v>
      </c>
      <c r="E50" s="42">
        <f>2.65*C50/100</f>
        <v>1.06</v>
      </c>
      <c r="F50" s="42">
        <f>53.25*C50/100</f>
        <v>21.3</v>
      </c>
      <c r="G50" s="42">
        <f>273*C50/100</f>
        <v>109.2</v>
      </c>
      <c r="H50" s="42">
        <f>0.34*C50/100</f>
        <v>0.13600000000000001</v>
      </c>
      <c r="I50" s="42">
        <f>0*C50/100</f>
        <v>0</v>
      </c>
      <c r="J50" s="42">
        <v>0</v>
      </c>
      <c r="K50" s="42">
        <f>1.5*C50/100</f>
        <v>0.6</v>
      </c>
      <c r="L50" s="48">
        <f>148.1*C50/100</f>
        <v>59.24</v>
      </c>
      <c r="M50" s="48">
        <f>0*C50/100</f>
        <v>0</v>
      </c>
      <c r="N50" s="48">
        <f>16*C50/100</f>
        <v>6.4</v>
      </c>
      <c r="O50" s="42">
        <f>2.4*C50/100</f>
        <v>0.96</v>
      </c>
      <c r="P50" s="56">
        <f>0.2*C50/100</f>
        <v>0.08</v>
      </c>
      <c r="Q50" s="56">
        <f>1.5*C50/100</f>
        <v>0.6</v>
      </c>
      <c r="R50" s="67">
        <v>200102</v>
      </c>
      <c r="S50" s="67"/>
    </row>
    <row r="51" spans="1:19" s="63" customFormat="1" x14ac:dyDescent="0.2">
      <c r="A51" s="49">
        <v>9</v>
      </c>
      <c r="B51" s="47" t="s">
        <v>159</v>
      </c>
      <c r="C51" s="41">
        <v>20</v>
      </c>
      <c r="D51" s="42">
        <f>5.86*C51/100</f>
        <v>1.1719999999999999</v>
      </c>
      <c r="E51" s="42">
        <f>0.94*C51/100</f>
        <v>0.18799999999999997</v>
      </c>
      <c r="F51" s="42">
        <f>44.4*C51/100</f>
        <v>8.8800000000000008</v>
      </c>
      <c r="G51" s="42">
        <f>189*C51/100</f>
        <v>37.799999999999997</v>
      </c>
      <c r="H51" s="42">
        <f>0.4*C51/100</f>
        <v>0.08</v>
      </c>
      <c r="I51" s="42">
        <f>0.03*C51/100</f>
        <v>6.0000000000000001E-3</v>
      </c>
      <c r="J51" s="42">
        <v>0</v>
      </c>
      <c r="K51" s="42">
        <f>1.7*C51/100</f>
        <v>0.34</v>
      </c>
      <c r="L51" s="48">
        <f>25.4*C51/100</f>
        <v>5.08</v>
      </c>
      <c r="M51" s="48">
        <f>105.53*C51/100</f>
        <v>21.105999999999998</v>
      </c>
      <c r="N51" s="48">
        <f>36.5*C51/100</f>
        <v>7.3</v>
      </c>
      <c r="O51" s="42">
        <f>2.45*C51/100</f>
        <v>0.49</v>
      </c>
      <c r="P51" s="56">
        <f>0.2*C51/100</f>
        <v>0.04</v>
      </c>
      <c r="Q51" s="56">
        <f>10*C51/100</f>
        <v>2</v>
      </c>
      <c r="R51" s="233">
        <v>200103</v>
      </c>
      <c r="S51" s="67">
        <v>190101</v>
      </c>
    </row>
    <row r="52" spans="1:19" s="4" customFormat="1" ht="18.75" customHeight="1" thickBot="1" x14ac:dyDescent="0.35">
      <c r="A52" s="97"/>
      <c r="B52" s="218" t="s">
        <v>4</v>
      </c>
      <c r="C52" s="101"/>
      <c r="D52" s="98">
        <f t="shared" ref="D52:Q52" si="6">SUM(D43:D51)</f>
        <v>35.537999999999997</v>
      </c>
      <c r="E52" s="98">
        <f t="shared" si="6"/>
        <v>27.642499999999991</v>
      </c>
      <c r="F52" s="98">
        <f t="shared" si="6"/>
        <v>104.455</v>
      </c>
      <c r="G52" s="98">
        <f t="shared" si="6"/>
        <v>785.24299999999994</v>
      </c>
      <c r="H52" s="98">
        <f t="shared" si="6"/>
        <v>0.76100000000000001</v>
      </c>
      <c r="I52" s="98">
        <f t="shared" si="6"/>
        <v>64.088999999999999</v>
      </c>
      <c r="J52" s="98">
        <f t="shared" si="6"/>
        <v>4.1239999999999988</v>
      </c>
      <c r="K52" s="98">
        <f t="shared" si="6"/>
        <v>3.5020000000000002</v>
      </c>
      <c r="L52" s="98">
        <f t="shared" si="6"/>
        <v>268.084</v>
      </c>
      <c r="M52" s="98">
        <f t="shared" si="6"/>
        <v>593.27099999999996</v>
      </c>
      <c r="N52" s="98">
        <f t="shared" si="6"/>
        <v>204.74700000000001</v>
      </c>
      <c r="O52" s="98">
        <f t="shared" si="6"/>
        <v>11.4292</v>
      </c>
      <c r="P52" s="192">
        <f t="shared" si="6"/>
        <v>1.5785000000000002</v>
      </c>
      <c r="Q52" s="192">
        <f t="shared" si="6"/>
        <v>24.485000000000007</v>
      </c>
      <c r="R52" s="122"/>
      <c r="S52" s="122"/>
    </row>
    <row r="53" spans="1:19" s="4" customFormat="1" ht="21" customHeight="1" x14ac:dyDescent="0.25">
      <c r="A53" s="349" t="s">
        <v>35</v>
      </c>
      <c r="B53" s="350"/>
      <c r="C53" s="350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43"/>
    </row>
    <row r="54" spans="1:19" s="63" customFormat="1" x14ac:dyDescent="0.2">
      <c r="A54" s="49">
        <v>1</v>
      </c>
      <c r="B54" s="47" t="s">
        <v>259</v>
      </c>
      <c r="C54" s="41">
        <v>50</v>
      </c>
      <c r="D54" s="94">
        <f>11.4*C54/100</f>
        <v>5.7</v>
      </c>
      <c r="E54" s="94">
        <f>6.2*C54/100</f>
        <v>3.1</v>
      </c>
      <c r="F54" s="94">
        <f>54.8*C54/100</f>
        <v>27.4</v>
      </c>
      <c r="G54" s="94">
        <f>321*C54/100</f>
        <v>160.5</v>
      </c>
      <c r="H54" s="42">
        <f>0.17*C54/100</f>
        <v>8.5000000000000006E-2</v>
      </c>
      <c r="I54" s="42">
        <f>3.2*C54/100</f>
        <v>1.6</v>
      </c>
      <c r="J54" s="42">
        <f>0.02*C54/100</f>
        <v>0.01</v>
      </c>
      <c r="K54" s="42">
        <f>1*C54/100</f>
        <v>0.5</v>
      </c>
      <c r="L54" s="48">
        <f>12.46*C54/100</f>
        <v>6.23</v>
      </c>
      <c r="M54" s="48">
        <f>55.81*C54/100</f>
        <v>27.905000000000001</v>
      </c>
      <c r="N54" s="48">
        <f>10.75*C54/100</f>
        <v>5.375</v>
      </c>
      <c r="O54" s="42">
        <f>0.82*C54/100</f>
        <v>0.41</v>
      </c>
      <c r="P54" s="49">
        <f>0.04*C54/100</f>
        <v>0.02</v>
      </c>
      <c r="Q54" s="49">
        <v>0.87</v>
      </c>
      <c r="R54" s="67">
        <v>190102</v>
      </c>
      <c r="S54" s="67">
        <v>190103</v>
      </c>
    </row>
    <row r="55" spans="1:19" s="66" customFormat="1" x14ac:dyDescent="0.2">
      <c r="A55" s="49">
        <v>2</v>
      </c>
      <c r="B55" s="47" t="s">
        <v>231</v>
      </c>
      <c r="C55" s="41">
        <v>200</v>
      </c>
      <c r="D55" s="60">
        <f>0.7*C55/100</f>
        <v>1.4</v>
      </c>
      <c r="E55" s="60">
        <v>0</v>
      </c>
      <c r="F55" s="60">
        <f>12*C55/100</f>
        <v>24</v>
      </c>
      <c r="G55" s="60">
        <f>48*C55/100</f>
        <v>96</v>
      </c>
      <c r="H55" s="42">
        <f>0.105*C55/100</f>
        <v>0.21</v>
      </c>
      <c r="I55" s="42">
        <f>2*C55/100</f>
        <v>4</v>
      </c>
      <c r="J55" s="42">
        <f>0.03*C55/100</f>
        <v>0.06</v>
      </c>
      <c r="K55" s="42">
        <f>0.35*C55/100</f>
        <v>0.7</v>
      </c>
      <c r="L55" s="48">
        <f>10.5*C55/100</f>
        <v>21</v>
      </c>
      <c r="M55" s="48">
        <f>8*C55/100</f>
        <v>16</v>
      </c>
      <c r="N55" s="48">
        <f>11.5*C55/100</f>
        <v>23</v>
      </c>
      <c r="O55" s="49">
        <f>0.35*C55/100</f>
        <v>0.7</v>
      </c>
      <c r="P55" s="49">
        <v>0</v>
      </c>
      <c r="Q55" s="49">
        <v>0.4</v>
      </c>
      <c r="R55" s="67"/>
      <c r="S55" s="67"/>
    </row>
    <row r="56" spans="1:19" s="4" customFormat="1" x14ac:dyDescent="0.3">
      <c r="A56" s="49"/>
      <c r="B56" s="218" t="s">
        <v>4</v>
      </c>
      <c r="C56" s="120"/>
      <c r="D56" s="172">
        <f t="shared" ref="D56:Q56" si="7">SUM(D54:D55)</f>
        <v>7.1</v>
      </c>
      <c r="E56" s="172">
        <f t="shared" si="7"/>
        <v>3.1</v>
      </c>
      <c r="F56" s="172">
        <f t="shared" si="7"/>
        <v>51.4</v>
      </c>
      <c r="G56" s="172">
        <f t="shared" si="7"/>
        <v>256.5</v>
      </c>
      <c r="H56" s="172">
        <f t="shared" si="7"/>
        <v>0.29499999999999998</v>
      </c>
      <c r="I56" s="172">
        <f t="shared" si="7"/>
        <v>5.6</v>
      </c>
      <c r="J56" s="172">
        <f t="shared" si="7"/>
        <v>6.9999999999999993E-2</v>
      </c>
      <c r="K56" s="172">
        <f t="shared" si="7"/>
        <v>1.2</v>
      </c>
      <c r="L56" s="172">
        <f t="shared" si="7"/>
        <v>27.23</v>
      </c>
      <c r="M56" s="172">
        <f t="shared" si="7"/>
        <v>43.905000000000001</v>
      </c>
      <c r="N56" s="172">
        <f t="shared" si="7"/>
        <v>28.375</v>
      </c>
      <c r="O56" s="172">
        <f t="shared" si="7"/>
        <v>1.1099999999999999</v>
      </c>
      <c r="P56" s="55">
        <f t="shared" si="7"/>
        <v>0.02</v>
      </c>
      <c r="Q56" s="55">
        <f t="shared" si="7"/>
        <v>1.27</v>
      </c>
      <c r="R56" s="122"/>
      <c r="S56" s="122"/>
    </row>
    <row r="57" spans="1:19" s="4" customFormat="1" ht="18.75" customHeight="1" x14ac:dyDescent="0.25">
      <c r="A57" s="49"/>
      <c r="B57" s="218" t="s">
        <v>7</v>
      </c>
      <c r="C57" s="120"/>
      <c r="D57" s="170">
        <f t="shared" ref="D57:Q57" si="8">D41+D52+D56</f>
        <v>66.499999999999986</v>
      </c>
      <c r="E57" s="170">
        <f t="shared" si="8"/>
        <v>55.522499999999987</v>
      </c>
      <c r="F57" s="170">
        <f t="shared" si="8"/>
        <v>213.26500000000001</v>
      </c>
      <c r="G57" s="170">
        <f t="shared" si="8"/>
        <v>1626.373</v>
      </c>
      <c r="H57" s="170">
        <f t="shared" si="8"/>
        <v>1.266</v>
      </c>
      <c r="I57" s="170">
        <f t="shared" si="8"/>
        <v>84.090999999999994</v>
      </c>
      <c r="J57" s="170">
        <f t="shared" si="8"/>
        <v>4.3529999999999989</v>
      </c>
      <c r="K57" s="170">
        <f t="shared" si="8"/>
        <v>6.346000000000001</v>
      </c>
      <c r="L57" s="170">
        <f t="shared" si="8"/>
        <v>590.43000000000006</v>
      </c>
      <c r="M57" s="170">
        <f t="shared" si="8"/>
        <v>999.11699999999985</v>
      </c>
      <c r="N57" s="170">
        <f t="shared" si="8"/>
        <v>285.18</v>
      </c>
      <c r="O57" s="170">
        <f t="shared" si="8"/>
        <v>14.181999999999999</v>
      </c>
      <c r="P57" s="170">
        <f t="shared" si="8"/>
        <v>2.3015000000000003</v>
      </c>
      <c r="Q57" s="170">
        <f t="shared" si="8"/>
        <v>31.750000000000007</v>
      </c>
      <c r="R57" s="122"/>
      <c r="S57" s="122"/>
    </row>
    <row r="58" spans="1:19" s="4" customFormat="1" ht="19.5" customHeight="1" thickBot="1" x14ac:dyDescent="0.3">
      <c r="A58" s="344" t="s">
        <v>43</v>
      </c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8"/>
    </row>
    <row r="59" spans="1:19" s="4" customFormat="1" ht="19.5" customHeight="1" x14ac:dyDescent="0.25">
      <c r="A59" s="300" t="s">
        <v>3</v>
      </c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47"/>
    </row>
    <row r="60" spans="1:19" s="63" customFormat="1" ht="37.5" x14ac:dyDescent="0.2">
      <c r="A60" s="49">
        <v>1</v>
      </c>
      <c r="B60" s="47" t="s">
        <v>255</v>
      </c>
      <c r="C60" s="41">
        <v>200</v>
      </c>
      <c r="D60" s="42">
        <f>3.64*C60/100</f>
        <v>7.28</v>
      </c>
      <c r="E60" s="42">
        <f>3.38*C60/100</f>
        <v>6.76</v>
      </c>
      <c r="F60" s="42">
        <f>18.46*C60/100</f>
        <v>36.92</v>
      </c>
      <c r="G60" s="42">
        <f>112.8*C60/100</f>
        <v>225.6</v>
      </c>
      <c r="H60" s="42">
        <f>0.4*C60/100</f>
        <v>0.8</v>
      </c>
      <c r="I60" s="42">
        <f>8*C60/100</f>
        <v>16</v>
      </c>
      <c r="J60" s="42">
        <f>0*C60/100</f>
        <v>0</v>
      </c>
      <c r="K60" s="42">
        <f>2*C60/100</f>
        <v>4</v>
      </c>
      <c r="L60" s="48">
        <f>20*C60/100</f>
        <v>40</v>
      </c>
      <c r="M60" s="48">
        <f>32*C60/100</f>
        <v>64</v>
      </c>
      <c r="N60" s="48">
        <f>0*C60/100</f>
        <v>0</v>
      </c>
      <c r="O60" s="42">
        <f>2.24*C60/100</f>
        <v>4.4800000000000004</v>
      </c>
      <c r="P60" s="49">
        <f>0.3*C60/100</f>
        <v>0.6</v>
      </c>
      <c r="Q60" s="49">
        <f>4.5*C60/100</f>
        <v>9</v>
      </c>
      <c r="R60" s="67">
        <v>120215</v>
      </c>
      <c r="S60" s="67"/>
    </row>
    <row r="61" spans="1:19" s="63" customFormat="1" x14ac:dyDescent="0.2">
      <c r="A61" s="49">
        <v>2</v>
      </c>
      <c r="B61" s="47" t="s">
        <v>31</v>
      </c>
      <c r="C61" s="59">
        <v>200</v>
      </c>
      <c r="D61" s="60">
        <v>0</v>
      </c>
      <c r="E61" s="60">
        <v>0</v>
      </c>
      <c r="F61" s="60">
        <f>4.99*C61/100</f>
        <v>9.98</v>
      </c>
      <c r="G61" s="42">
        <f>19.95*C61/100</f>
        <v>39.9</v>
      </c>
      <c r="H61" s="42">
        <v>0</v>
      </c>
      <c r="I61" s="42">
        <v>0</v>
      </c>
      <c r="J61" s="42">
        <v>0</v>
      </c>
      <c r="K61" s="42">
        <v>0</v>
      </c>
      <c r="L61" s="48">
        <f>8.15*C61/100</f>
        <v>16.3</v>
      </c>
      <c r="M61" s="48">
        <f>0.02*C61/100</f>
        <v>0.04</v>
      </c>
      <c r="N61" s="48">
        <f>1.79*C61/100</f>
        <v>3.58</v>
      </c>
      <c r="O61" s="42">
        <f>0.02*C61/100</f>
        <v>0.04</v>
      </c>
      <c r="P61" s="49">
        <f>0.01*C61/100</f>
        <v>0.02</v>
      </c>
      <c r="Q61" s="49">
        <v>0.48</v>
      </c>
      <c r="R61" s="67">
        <v>160105</v>
      </c>
      <c r="S61" s="67"/>
    </row>
    <row r="62" spans="1:19" s="63" customFormat="1" x14ac:dyDescent="0.2">
      <c r="A62" s="49">
        <v>3</v>
      </c>
      <c r="B62" s="47" t="s">
        <v>170</v>
      </c>
      <c r="C62" s="41">
        <v>40</v>
      </c>
      <c r="D62" s="42">
        <f>12.7*C62/100</f>
        <v>5.08</v>
      </c>
      <c r="E62" s="42">
        <f>11.5*C62/100</f>
        <v>4.5999999999999996</v>
      </c>
      <c r="F62" s="42">
        <f>0.7*C62/100</f>
        <v>0.28000000000000003</v>
      </c>
      <c r="G62" s="42">
        <f>157*C62/100</f>
        <v>62.8</v>
      </c>
      <c r="H62" s="42">
        <f>0.07*C62/100</f>
        <v>2.8000000000000004E-2</v>
      </c>
      <c r="I62" s="42">
        <f>0*C62/100</f>
        <v>0</v>
      </c>
      <c r="J62" s="42">
        <f>0.25*C62/100</f>
        <v>0.1</v>
      </c>
      <c r="K62" s="42">
        <f>0*C62/100</f>
        <v>0</v>
      </c>
      <c r="L62" s="48">
        <f>55*C62/100</f>
        <v>22</v>
      </c>
      <c r="M62" s="48">
        <f>0.2*C62/100</f>
        <v>0.08</v>
      </c>
      <c r="N62" s="48">
        <f>12.06*C62/100</f>
        <v>4.8240000000000007</v>
      </c>
      <c r="O62" s="42">
        <f>2.5*C62/100</f>
        <v>1</v>
      </c>
      <c r="P62" s="49">
        <f>0.44*C62/100</f>
        <v>0.17600000000000002</v>
      </c>
      <c r="Q62" s="49">
        <f>20*C62/100</f>
        <v>8</v>
      </c>
      <c r="R62" s="67">
        <v>120304</v>
      </c>
      <c r="S62" s="67"/>
    </row>
    <row r="63" spans="1:19" s="63" customFormat="1" x14ac:dyDescent="0.2">
      <c r="A63" s="49">
        <v>4</v>
      </c>
      <c r="B63" s="47" t="s">
        <v>160</v>
      </c>
      <c r="C63" s="41">
        <v>20</v>
      </c>
      <c r="D63" s="42">
        <f>7.76*C63/100</f>
        <v>1.5519999999999998</v>
      </c>
      <c r="E63" s="42">
        <f>2.65*C63/100</f>
        <v>0.53</v>
      </c>
      <c r="F63" s="42">
        <f>53.25*C63/100</f>
        <v>10.65</v>
      </c>
      <c r="G63" s="42">
        <f>273*C63/100</f>
        <v>54.6</v>
      </c>
      <c r="H63" s="42">
        <f>0.34*C63/100</f>
        <v>6.8000000000000005E-2</v>
      </c>
      <c r="I63" s="42">
        <f>0*C63/100</f>
        <v>0</v>
      </c>
      <c r="J63" s="42">
        <v>0</v>
      </c>
      <c r="K63" s="42">
        <f>1.5*C63/100</f>
        <v>0.3</v>
      </c>
      <c r="L63" s="48">
        <f>148.1*C63/100</f>
        <v>29.62</v>
      </c>
      <c r="M63" s="48">
        <f>0*C63/100</f>
        <v>0</v>
      </c>
      <c r="N63" s="48">
        <f>16*C63/100</f>
        <v>3.2</v>
      </c>
      <c r="O63" s="42">
        <f>2.4*C63/100</f>
        <v>0.48</v>
      </c>
      <c r="P63" s="56">
        <f>0.2*C63/100</f>
        <v>0.04</v>
      </c>
      <c r="Q63" s="56">
        <f>1.5*C63/100</f>
        <v>0.3</v>
      </c>
      <c r="R63" s="67">
        <v>200102</v>
      </c>
      <c r="S63" s="67"/>
    </row>
    <row r="64" spans="1:19" s="63" customFormat="1" ht="37.5" x14ac:dyDescent="0.2">
      <c r="A64" s="49">
        <v>5</v>
      </c>
      <c r="B64" s="47" t="s">
        <v>246</v>
      </c>
      <c r="C64" s="41">
        <v>50</v>
      </c>
      <c r="D64" s="60">
        <f>8*C64/100</f>
        <v>4</v>
      </c>
      <c r="E64" s="60">
        <f>5.8*C64/100</f>
        <v>2.9</v>
      </c>
      <c r="F64" s="60">
        <f>53.4*C64/100</f>
        <v>26.7</v>
      </c>
      <c r="G64" s="60">
        <f>297.8*C64/100</f>
        <v>148.9</v>
      </c>
      <c r="H64" s="42">
        <v>0.13</v>
      </c>
      <c r="I64" s="42">
        <v>0</v>
      </c>
      <c r="J64" s="42">
        <v>0.06</v>
      </c>
      <c r="K64" s="42">
        <v>0.94</v>
      </c>
      <c r="L64" s="48">
        <v>27.9</v>
      </c>
      <c r="M64" s="48">
        <v>104.5</v>
      </c>
      <c r="N64" s="48">
        <v>14.2</v>
      </c>
      <c r="O64" s="42">
        <v>0.06</v>
      </c>
      <c r="P64" s="49">
        <v>0.04</v>
      </c>
      <c r="Q64" s="49">
        <v>0.19</v>
      </c>
      <c r="R64" s="183" t="s">
        <v>245</v>
      </c>
      <c r="S64" s="67">
        <v>190203</v>
      </c>
    </row>
    <row r="65" spans="1:19" s="4" customFormat="1" ht="20.25" customHeight="1" x14ac:dyDescent="0.3">
      <c r="A65" s="49"/>
      <c r="B65" s="218" t="s">
        <v>4</v>
      </c>
      <c r="C65" s="41"/>
      <c r="D65" s="172">
        <f t="shared" ref="D65:Q65" si="9">SUM(D60:D64)</f>
        <v>17.911999999999999</v>
      </c>
      <c r="E65" s="172">
        <f t="shared" si="9"/>
        <v>14.79</v>
      </c>
      <c r="F65" s="172">
        <f t="shared" si="9"/>
        <v>84.53</v>
      </c>
      <c r="G65" s="172">
        <f t="shared" si="9"/>
        <v>531.80000000000007</v>
      </c>
      <c r="H65" s="172">
        <f t="shared" si="9"/>
        <v>1.0260000000000002</v>
      </c>
      <c r="I65" s="172">
        <f t="shared" si="9"/>
        <v>16</v>
      </c>
      <c r="J65" s="172">
        <f t="shared" si="9"/>
        <v>0.16</v>
      </c>
      <c r="K65" s="172">
        <f t="shared" si="9"/>
        <v>5.24</v>
      </c>
      <c r="L65" s="172">
        <f t="shared" si="9"/>
        <v>135.82</v>
      </c>
      <c r="M65" s="172">
        <f t="shared" si="9"/>
        <v>168.62</v>
      </c>
      <c r="N65" s="172">
        <f t="shared" si="9"/>
        <v>25.803999999999998</v>
      </c>
      <c r="O65" s="172">
        <f t="shared" si="9"/>
        <v>6.06</v>
      </c>
      <c r="P65" s="192">
        <f t="shared" si="9"/>
        <v>0.87600000000000011</v>
      </c>
      <c r="Q65" s="192">
        <f t="shared" si="9"/>
        <v>17.970000000000002</v>
      </c>
      <c r="R65" s="122"/>
      <c r="S65" s="122"/>
    </row>
    <row r="66" spans="1:19" s="4" customFormat="1" x14ac:dyDescent="0.25">
      <c r="A66" s="117"/>
      <c r="B66" s="301" t="s">
        <v>5</v>
      </c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47"/>
    </row>
    <row r="67" spans="1:19" s="63" customFormat="1" ht="37.5" x14ac:dyDescent="0.2">
      <c r="A67" s="49">
        <v>1</v>
      </c>
      <c r="B67" s="47" t="s">
        <v>220</v>
      </c>
      <c r="C67" s="41">
        <v>60</v>
      </c>
      <c r="D67" s="42">
        <f>12.36*C67/100</f>
        <v>7.4159999999999995</v>
      </c>
      <c r="E67" s="42">
        <f>11.47*C67/100</f>
        <v>6.8820000000000006</v>
      </c>
      <c r="F67" s="42">
        <f>3.18*C67/100</f>
        <v>1.9080000000000001</v>
      </c>
      <c r="G67" s="42">
        <f>165.79*C67/100</f>
        <v>99.47399999999999</v>
      </c>
      <c r="H67" s="42">
        <f>0.14*C67/100</f>
        <v>8.4000000000000005E-2</v>
      </c>
      <c r="I67" s="42">
        <f>49.56*C67/100</f>
        <v>29.736000000000004</v>
      </c>
      <c r="J67" s="42">
        <f>0*C67/100</f>
        <v>0</v>
      </c>
      <c r="K67" s="42">
        <f>3.28*C67/100</f>
        <v>1.9679999999999997</v>
      </c>
      <c r="L67" s="48">
        <f>58.64*C67/100</f>
        <v>35.183999999999997</v>
      </c>
      <c r="M67" s="48">
        <f>175.44*C67/100</f>
        <v>105.264</v>
      </c>
      <c r="N67" s="48">
        <f>71.12*C67/100</f>
        <v>42.672000000000004</v>
      </c>
      <c r="O67" s="42">
        <f>1.1*C67/100</f>
        <v>0.66</v>
      </c>
      <c r="P67" s="49">
        <f>0.1*C67/100</f>
        <v>0.06</v>
      </c>
      <c r="Q67" s="49">
        <v>1.47</v>
      </c>
      <c r="R67" s="67">
        <v>100602</v>
      </c>
      <c r="S67" s="67"/>
    </row>
    <row r="68" spans="1:19" s="63" customFormat="1" x14ac:dyDescent="0.2">
      <c r="A68" s="49">
        <v>2</v>
      </c>
      <c r="B68" s="47" t="s">
        <v>172</v>
      </c>
      <c r="C68" s="41">
        <v>250</v>
      </c>
      <c r="D68" s="42">
        <f>0.8*C68/100</f>
        <v>2</v>
      </c>
      <c r="E68" s="42">
        <f>1.6*C68/100</f>
        <v>4</v>
      </c>
      <c r="F68" s="42">
        <f>6.6*C68/100</f>
        <v>16.5</v>
      </c>
      <c r="G68" s="42">
        <f>44*C68/100</f>
        <v>110</v>
      </c>
      <c r="H68" s="42">
        <f>0.04*C68/100</f>
        <v>0.1</v>
      </c>
      <c r="I68" s="42">
        <f>5.54*C68/100</f>
        <v>13.85</v>
      </c>
      <c r="J68" s="42">
        <f>0.01*C68/100</f>
        <v>2.5000000000000001E-2</v>
      </c>
      <c r="K68" s="42">
        <f>0.14*C68/100</f>
        <v>0.35</v>
      </c>
      <c r="L68" s="48">
        <f>16.12*C68/100</f>
        <v>40.300000000000004</v>
      </c>
      <c r="M68" s="48">
        <f>26.21*C68/100</f>
        <v>65.525000000000006</v>
      </c>
      <c r="N68" s="48">
        <f>11.01*C68/100</f>
        <v>27.524999999999999</v>
      </c>
      <c r="O68" s="42">
        <f>0.48*C68/100</f>
        <v>1.2</v>
      </c>
      <c r="P68" s="49">
        <f>0.03*C68/100</f>
        <v>7.4999999999999997E-2</v>
      </c>
      <c r="Q68" s="49">
        <f>0.78*C68/100</f>
        <v>1.95</v>
      </c>
      <c r="R68" s="67">
        <v>110403</v>
      </c>
      <c r="S68" s="67">
        <v>110404</v>
      </c>
    </row>
    <row r="69" spans="1:19" s="63" customFormat="1" x14ac:dyDescent="0.2">
      <c r="A69" s="49">
        <v>3</v>
      </c>
      <c r="B69" s="47" t="s">
        <v>124</v>
      </c>
      <c r="C69" s="41">
        <v>10</v>
      </c>
      <c r="D69" s="42">
        <f>11.1*C69/100</f>
        <v>1.1100000000000001</v>
      </c>
      <c r="E69" s="42">
        <f>3.79*C69/100</f>
        <v>0.379</v>
      </c>
      <c r="F69" s="42">
        <f>76.15*C69/100</f>
        <v>7.6150000000000002</v>
      </c>
      <c r="G69" s="42">
        <f>390.39*C69/100</f>
        <v>39.038999999999994</v>
      </c>
      <c r="H69" s="42">
        <f>0.61*C69/100</f>
        <v>6.0999999999999999E-2</v>
      </c>
      <c r="I69" s="42">
        <f>0*C69/100</f>
        <v>0</v>
      </c>
      <c r="J69" s="42">
        <f>0*C69/100</f>
        <v>0</v>
      </c>
      <c r="K69" s="42">
        <f>0*C69/100</f>
        <v>0</v>
      </c>
      <c r="L69" s="48">
        <f>211.78*C69/100</f>
        <v>21.178000000000001</v>
      </c>
      <c r="M69" s="48">
        <f>0.25*C69/100</f>
        <v>2.5000000000000001E-2</v>
      </c>
      <c r="N69" s="48">
        <f>22.8*C69/100</f>
        <v>2.2799999999999998</v>
      </c>
      <c r="O69" s="42">
        <f>0.002*C69/100</f>
        <v>2.0000000000000001E-4</v>
      </c>
      <c r="P69" s="49">
        <f>0.44*C69/100</f>
        <v>4.4000000000000004E-2</v>
      </c>
      <c r="Q69" s="49">
        <v>0</v>
      </c>
      <c r="R69" s="67">
        <v>180601</v>
      </c>
      <c r="S69" s="67"/>
    </row>
    <row r="70" spans="1:19" s="63" customFormat="1" x14ac:dyDescent="0.2">
      <c r="A70" s="49">
        <v>4</v>
      </c>
      <c r="B70" s="47" t="s">
        <v>37</v>
      </c>
      <c r="C70" s="41">
        <v>200</v>
      </c>
      <c r="D70" s="42">
        <f>14*C70/100</f>
        <v>28</v>
      </c>
      <c r="E70" s="42">
        <f>3*C70/100</f>
        <v>6</v>
      </c>
      <c r="F70" s="42">
        <f>14.3*C70/100</f>
        <v>28.6</v>
      </c>
      <c r="G70" s="42">
        <f>140.2*C70/100</f>
        <v>280.39999999999998</v>
      </c>
      <c r="H70" s="42">
        <f>0.1*C70/100</f>
        <v>0.2</v>
      </c>
      <c r="I70" s="42">
        <f>4.37*C70/100</f>
        <v>8.74</v>
      </c>
      <c r="J70" s="42">
        <f>0.02*C70/100</f>
        <v>0.04</v>
      </c>
      <c r="K70" s="42">
        <f>0.19*C70/100</f>
        <v>0.38</v>
      </c>
      <c r="L70" s="48">
        <f>21.9*C70/100</f>
        <v>43.8</v>
      </c>
      <c r="M70" s="48">
        <f>141.56*C70/100</f>
        <v>283.12</v>
      </c>
      <c r="N70" s="48">
        <f>30.33*C70/100</f>
        <v>60.66</v>
      </c>
      <c r="O70" s="42">
        <f>2.15*C70/100</f>
        <v>4.3</v>
      </c>
      <c r="P70" s="49">
        <f>0.13*C70/100</f>
        <v>0.26</v>
      </c>
      <c r="Q70" s="49">
        <v>3.68</v>
      </c>
      <c r="R70" s="67">
        <v>120511</v>
      </c>
      <c r="S70" s="67">
        <v>120512</v>
      </c>
    </row>
    <row r="71" spans="1:19" s="37" customFormat="1" x14ac:dyDescent="0.2">
      <c r="A71" s="49">
        <v>5</v>
      </c>
      <c r="B71" s="47" t="s">
        <v>126</v>
      </c>
      <c r="C71" s="41">
        <v>200</v>
      </c>
      <c r="D71" s="42">
        <f>0.08*C71/100</f>
        <v>0.16</v>
      </c>
      <c r="E71" s="42">
        <f>0.06*C71/100</f>
        <v>0.12</v>
      </c>
      <c r="F71" s="42">
        <f>8*C71/100</f>
        <v>16</v>
      </c>
      <c r="G71" s="42">
        <f>23.36*C71/100</f>
        <v>46.72</v>
      </c>
      <c r="H71" s="42">
        <f>0*C71/100</f>
        <v>0</v>
      </c>
      <c r="I71" s="42">
        <f>1*C71/100</f>
        <v>2</v>
      </c>
      <c r="J71" s="42">
        <f>0*C71/100</f>
        <v>0</v>
      </c>
      <c r="K71" s="42">
        <f>0.08*C71/100</f>
        <v>0.16</v>
      </c>
      <c r="L71" s="48">
        <f>7.96*C71/100</f>
        <v>15.92</v>
      </c>
      <c r="M71" s="48">
        <f>3.2*C71/100</f>
        <v>6.4</v>
      </c>
      <c r="N71" s="48">
        <f>3.3*C71/100</f>
        <v>6.6</v>
      </c>
      <c r="O71" s="42">
        <f>0.47*C71/100</f>
        <v>0.94</v>
      </c>
      <c r="P71" s="62">
        <f>0.01*C71/100</f>
        <v>0.02</v>
      </c>
      <c r="Q71" s="62">
        <v>2.3199999999999998</v>
      </c>
      <c r="R71" s="67">
        <v>160208</v>
      </c>
      <c r="S71" s="67"/>
    </row>
    <row r="72" spans="1:19" s="63" customFormat="1" x14ac:dyDescent="0.2">
      <c r="A72" s="49">
        <v>6</v>
      </c>
      <c r="B72" s="47" t="s">
        <v>160</v>
      </c>
      <c r="C72" s="41">
        <v>40</v>
      </c>
      <c r="D72" s="42">
        <f>7.76*C72/100</f>
        <v>3.1039999999999996</v>
      </c>
      <c r="E72" s="42">
        <f>2.65*C72/100</f>
        <v>1.06</v>
      </c>
      <c r="F72" s="42">
        <f>53.25*C72/100</f>
        <v>21.3</v>
      </c>
      <c r="G72" s="42">
        <f>273*C72/100</f>
        <v>109.2</v>
      </c>
      <c r="H72" s="42">
        <f>0.34*C72/100</f>
        <v>0.13600000000000001</v>
      </c>
      <c r="I72" s="42">
        <f>0*C72/100</f>
        <v>0</v>
      </c>
      <c r="J72" s="42">
        <v>0</v>
      </c>
      <c r="K72" s="42">
        <f>1.5*C72/100</f>
        <v>0.6</v>
      </c>
      <c r="L72" s="48">
        <f>148.1*C72/100</f>
        <v>59.24</v>
      </c>
      <c r="M72" s="48">
        <f>0*C72/100</f>
        <v>0</v>
      </c>
      <c r="N72" s="48">
        <f>16*C72/100</f>
        <v>6.4</v>
      </c>
      <c r="O72" s="42">
        <f>2.4*C72/100</f>
        <v>0.96</v>
      </c>
      <c r="P72" s="56">
        <f>0.2*C72/100</f>
        <v>0.08</v>
      </c>
      <c r="Q72" s="56">
        <f>1.5*C72/100</f>
        <v>0.6</v>
      </c>
      <c r="R72" s="67">
        <v>200102</v>
      </c>
      <c r="S72" s="67"/>
    </row>
    <row r="73" spans="1:19" s="63" customFormat="1" x14ac:dyDescent="0.2">
      <c r="A73" s="49">
        <v>7</v>
      </c>
      <c r="B73" s="47" t="s">
        <v>159</v>
      </c>
      <c r="C73" s="41">
        <v>20</v>
      </c>
      <c r="D73" s="42">
        <f>5.86*C73/100</f>
        <v>1.1719999999999999</v>
      </c>
      <c r="E73" s="42">
        <f>0.94*C73/100</f>
        <v>0.18799999999999997</v>
      </c>
      <c r="F73" s="42">
        <f>44.4*C73/100</f>
        <v>8.8800000000000008</v>
      </c>
      <c r="G73" s="42">
        <f>189*C73/100</f>
        <v>37.799999999999997</v>
      </c>
      <c r="H73" s="42">
        <f>0.4*C73/100</f>
        <v>0.08</v>
      </c>
      <c r="I73" s="42">
        <f>0.03*C73/100</f>
        <v>6.0000000000000001E-3</v>
      </c>
      <c r="J73" s="42">
        <v>0</v>
      </c>
      <c r="K73" s="42">
        <f>1.7*C73/100</f>
        <v>0.34</v>
      </c>
      <c r="L73" s="48">
        <f>25.4*C73/100</f>
        <v>5.08</v>
      </c>
      <c r="M73" s="48">
        <f>105.53*C73/100</f>
        <v>21.105999999999998</v>
      </c>
      <c r="N73" s="48">
        <f>36.5*C73/100</f>
        <v>7.3</v>
      </c>
      <c r="O73" s="42">
        <f>2.45*C73/100</f>
        <v>0.49</v>
      </c>
      <c r="P73" s="56">
        <f>0.2*C73/100</f>
        <v>0.04</v>
      </c>
      <c r="Q73" s="56">
        <f>10*C73/100</f>
        <v>2</v>
      </c>
      <c r="R73" s="67">
        <v>200103</v>
      </c>
      <c r="S73" s="67"/>
    </row>
    <row r="74" spans="1:19" s="4" customFormat="1" ht="20.25" customHeight="1" x14ac:dyDescent="0.3">
      <c r="A74" s="49"/>
      <c r="B74" s="218" t="s">
        <v>4</v>
      </c>
      <c r="C74" s="120"/>
      <c r="D74" s="170">
        <f t="shared" ref="D74:Q74" si="10">SUM(D67:D73)</f>
        <v>42.961999999999989</v>
      </c>
      <c r="E74" s="170">
        <f t="shared" si="10"/>
        <v>18.629000000000001</v>
      </c>
      <c r="F74" s="170">
        <f t="shared" si="10"/>
        <v>100.803</v>
      </c>
      <c r="G74" s="170">
        <f t="shared" si="10"/>
        <v>722.63300000000004</v>
      </c>
      <c r="H74" s="170">
        <f t="shared" si="10"/>
        <v>0.66099999999999992</v>
      </c>
      <c r="I74" s="170">
        <f t="shared" si="10"/>
        <v>54.332000000000008</v>
      </c>
      <c r="J74" s="170">
        <f t="shared" si="10"/>
        <v>6.5000000000000002E-2</v>
      </c>
      <c r="K74" s="170">
        <f t="shared" si="10"/>
        <v>3.7979999999999996</v>
      </c>
      <c r="L74" s="170">
        <f t="shared" si="10"/>
        <v>220.702</v>
      </c>
      <c r="M74" s="170">
        <f t="shared" si="10"/>
        <v>481.43999999999994</v>
      </c>
      <c r="N74" s="170">
        <f t="shared" si="10"/>
        <v>153.43700000000001</v>
      </c>
      <c r="O74" s="170">
        <f t="shared" si="10"/>
        <v>8.5501999999999985</v>
      </c>
      <c r="P74" s="192">
        <f t="shared" si="10"/>
        <v>0.57900000000000007</v>
      </c>
      <c r="Q74" s="192">
        <f t="shared" si="10"/>
        <v>12.02</v>
      </c>
      <c r="R74" s="122"/>
      <c r="S74" s="122"/>
    </row>
    <row r="75" spans="1:19" s="4" customFormat="1" ht="18.75" customHeight="1" x14ac:dyDescent="0.25">
      <c r="A75" s="314" t="s">
        <v>35</v>
      </c>
      <c r="B75" s="315"/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43"/>
    </row>
    <row r="76" spans="1:19" s="63" customFormat="1" x14ac:dyDescent="0.2">
      <c r="A76" s="49">
        <v>1</v>
      </c>
      <c r="B76" s="47" t="s">
        <v>233</v>
      </c>
      <c r="C76" s="41">
        <v>200</v>
      </c>
      <c r="D76" s="171">
        <f>0*C76/100</f>
        <v>0</v>
      </c>
      <c r="E76" s="171">
        <f>0*C76/100</f>
        <v>0</v>
      </c>
      <c r="F76" s="171">
        <f>0*C76/100</f>
        <v>0</v>
      </c>
      <c r="G76" s="171">
        <f>17*C76/100</f>
        <v>34</v>
      </c>
      <c r="H76" s="42">
        <v>0</v>
      </c>
      <c r="I76" s="42">
        <v>0</v>
      </c>
      <c r="J76" s="42">
        <v>0</v>
      </c>
      <c r="K76" s="42">
        <v>0</v>
      </c>
      <c r="L76" s="48">
        <v>4.8600000000000003</v>
      </c>
      <c r="M76" s="48">
        <v>0</v>
      </c>
      <c r="N76" s="48">
        <v>1.08</v>
      </c>
      <c r="O76" s="42">
        <v>0</v>
      </c>
      <c r="P76" s="49">
        <v>0</v>
      </c>
      <c r="Q76" s="49">
        <v>0</v>
      </c>
      <c r="R76" s="67">
        <v>160107</v>
      </c>
      <c r="S76" s="67"/>
    </row>
    <row r="77" spans="1:19" s="63" customFormat="1" x14ac:dyDescent="0.3">
      <c r="A77" s="49">
        <v>2</v>
      </c>
      <c r="B77" s="47" t="s">
        <v>140</v>
      </c>
      <c r="C77" s="41">
        <v>10</v>
      </c>
      <c r="D77" s="171">
        <f>0*C77/100</f>
        <v>0</v>
      </c>
      <c r="E77" s="171">
        <f>0*C77/100</f>
        <v>0</v>
      </c>
      <c r="F77" s="171">
        <f>99.8*C77/100</f>
        <v>9.98</v>
      </c>
      <c r="G77" s="171">
        <f>374.3*C77/100</f>
        <v>37.43</v>
      </c>
      <c r="H77" s="42">
        <v>0</v>
      </c>
      <c r="I77" s="42">
        <v>0</v>
      </c>
      <c r="J77" s="42">
        <v>0</v>
      </c>
      <c r="K77" s="42">
        <v>0</v>
      </c>
      <c r="L77" s="42">
        <v>0.2</v>
      </c>
      <c r="M77" s="42">
        <v>0</v>
      </c>
      <c r="N77" s="42">
        <v>0</v>
      </c>
      <c r="O77" s="42">
        <v>0.03</v>
      </c>
      <c r="P77" s="55">
        <v>0</v>
      </c>
      <c r="Q77" s="55">
        <v>0</v>
      </c>
      <c r="R77" s="67"/>
      <c r="S77" s="67"/>
    </row>
    <row r="78" spans="1:19" s="63" customFormat="1" ht="37.5" x14ac:dyDescent="0.2">
      <c r="A78" s="49">
        <v>3</v>
      </c>
      <c r="B78" s="47" t="s">
        <v>164</v>
      </c>
      <c r="C78" s="41">
        <v>10</v>
      </c>
      <c r="D78" s="42">
        <f>0.5*C78/100</f>
        <v>0.05</v>
      </c>
      <c r="E78" s="42">
        <f>82.5*C78/100</f>
        <v>8.25</v>
      </c>
      <c r="F78" s="42">
        <f>0.8*C78/100</f>
        <v>0.08</v>
      </c>
      <c r="G78" s="42">
        <f>748*C78/100</f>
        <v>74.8</v>
      </c>
      <c r="H78" s="42">
        <v>0</v>
      </c>
      <c r="I78" s="42">
        <v>0</v>
      </c>
      <c r="J78" s="42">
        <f>0.4*C78/100</f>
        <v>0.04</v>
      </c>
      <c r="K78" s="42">
        <f>1*C78/100</f>
        <v>0.1</v>
      </c>
      <c r="L78" s="48">
        <f>12*C78/100</f>
        <v>1.2</v>
      </c>
      <c r="M78" s="48">
        <f>19*C78/100</f>
        <v>1.9</v>
      </c>
      <c r="N78" s="48">
        <f>0*C78/100</f>
        <v>0</v>
      </c>
      <c r="O78" s="42">
        <f>0.2*C78/100</f>
        <v>0.02</v>
      </c>
      <c r="P78" s="56">
        <f>0.1*C78/100</f>
        <v>0.01</v>
      </c>
      <c r="Q78" s="49">
        <v>0</v>
      </c>
      <c r="R78" s="67"/>
      <c r="S78" s="67"/>
    </row>
    <row r="79" spans="1:19" s="65" customFormat="1" ht="56.25" x14ac:dyDescent="0.2">
      <c r="A79" s="49">
        <v>4</v>
      </c>
      <c r="B79" s="178" t="s">
        <v>188</v>
      </c>
      <c r="C79" s="179">
        <v>20</v>
      </c>
      <c r="D79" s="180">
        <f>26*C79/100</f>
        <v>5.2</v>
      </c>
      <c r="E79" s="180">
        <f>26.1*C79/100</f>
        <v>5.22</v>
      </c>
      <c r="F79" s="180">
        <f>0*C79/100</f>
        <v>0</v>
      </c>
      <c r="G79" s="62">
        <f>344*C79/100</f>
        <v>68.8</v>
      </c>
      <c r="H79" s="56">
        <f>0.03*C79/100</f>
        <v>6.0000000000000001E-3</v>
      </c>
      <c r="I79" s="56">
        <f>0.8*C79/100</f>
        <v>0.16</v>
      </c>
      <c r="J79" s="56">
        <f>0.23*C79/100</f>
        <v>4.6000000000000006E-2</v>
      </c>
      <c r="K79" s="56">
        <f>0.5*C79/100</f>
        <v>0.1</v>
      </c>
      <c r="L79" s="123">
        <f>1000*C79/100</f>
        <v>200</v>
      </c>
      <c r="M79" s="123">
        <f>650*C79/100</f>
        <v>130</v>
      </c>
      <c r="N79" s="123">
        <f>45*C79/100</f>
        <v>9</v>
      </c>
      <c r="O79" s="56">
        <f>0.8*C79/100</f>
        <v>0.16</v>
      </c>
      <c r="P79" s="56">
        <f>0.3*C79/100</f>
        <v>0.06</v>
      </c>
      <c r="Q79" s="56">
        <v>0</v>
      </c>
      <c r="R79" s="67">
        <v>100102</v>
      </c>
      <c r="S79" s="181"/>
    </row>
    <row r="80" spans="1:19" s="63" customFormat="1" x14ac:dyDescent="0.2">
      <c r="A80" s="49">
        <v>5</v>
      </c>
      <c r="B80" s="47" t="s">
        <v>160</v>
      </c>
      <c r="C80" s="41">
        <v>20</v>
      </c>
      <c r="D80" s="42">
        <f>7.76*C80/100</f>
        <v>1.5519999999999998</v>
      </c>
      <c r="E80" s="42">
        <f>2.65*C80/100</f>
        <v>0.53</v>
      </c>
      <c r="F80" s="42">
        <f>53.25*C80/100</f>
        <v>10.65</v>
      </c>
      <c r="G80" s="42">
        <f>273*C80/100</f>
        <v>54.6</v>
      </c>
      <c r="H80" s="42">
        <f>0.34*C80/100</f>
        <v>6.8000000000000005E-2</v>
      </c>
      <c r="I80" s="42">
        <f>0*C80/100</f>
        <v>0</v>
      </c>
      <c r="J80" s="42">
        <v>0</v>
      </c>
      <c r="K80" s="42">
        <f>1.5*C80/100</f>
        <v>0.3</v>
      </c>
      <c r="L80" s="48">
        <f>148.1*C80/100</f>
        <v>29.62</v>
      </c>
      <c r="M80" s="48">
        <f>0*C80/100</f>
        <v>0</v>
      </c>
      <c r="N80" s="48">
        <f>16*C80/100</f>
        <v>3.2</v>
      </c>
      <c r="O80" s="42">
        <f>2.4*C80/100</f>
        <v>0.48</v>
      </c>
      <c r="P80" s="56">
        <f>0.2*C80/100</f>
        <v>0.04</v>
      </c>
      <c r="Q80" s="56">
        <f>1.5*C80/100</f>
        <v>0.3</v>
      </c>
      <c r="R80" s="67">
        <v>200102</v>
      </c>
      <c r="S80" s="67"/>
    </row>
    <row r="81" spans="1:19" s="4" customFormat="1" ht="20.25" customHeight="1" x14ac:dyDescent="0.3">
      <c r="A81" s="49"/>
      <c r="B81" s="218" t="s">
        <v>4</v>
      </c>
      <c r="C81" s="41"/>
      <c r="D81" s="172">
        <f t="shared" ref="D81:Q81" si="11">SUM(D76:D80)</f>
        <v>6.8019999999999996</v>
      </c>
      <c r="E81" s="172">
        <f t="shared" si="11"/>
        <v>13.999999999999998</v>
      </c>
      <c r="F81" s="172">
        <f t="shared" si="11"/>
        <v>20.71</v>
      </c>
      <c r="G81" s="172">
        <f t="shared" si="11"/>
        <v>269.63000000000005</v>
      </c>
      <c r="H81" s="172">
        <f t="shared" si="11"/>
        <v>7.400000000000001E-2</v>
      </c>
      <c r="I81" s="172">
        <f t="shared" si="11"/>
        <v>0.16</v>
      </c>
      <c r="J81" s="172">
        <f t="shared" si="11"/>
        <v>8.6000000000000007E-2</v>
      </c>
      <c r="K81" s="172">
        <f t="shared" si="11"/>
        <v>0.5</v>
      </c>
      <c r="L81" s="172">
        <f t="shared" si="11"/>
        <v>235.88</v>
      </c>
      <c r="M81" s="172">
        <f t="shared" si="11"/>
        <v>131.9</v>
      </c>
      <c r="N81" s="172">
        <f t="shared" si="11"/>
        <v>13.280000000000001</v>
      </c>
      <c r="O81" s="172">
        <f t="shared" si="11"/>
        <v>0.69</v>
      </c>
      <c r="P81" s="192">
        <f t="shared" si="11"/>
        <v>0.10999999999999999</v>
      </c>
      <c r="Q81" s="192">
        <f t="shared" si="11"/>
        <v>0.3</v>
      </c>
      <c r="R81" s="122"/>
      <c r="S81" s="122"/>
    </row>
    <row r="82" spans="1:19" s="4" customFormat="1" ht="20.25" customHeight="1" x14ac:dyDescent="0.25">
      <c r="A82" s="49"/>
      <c r="B82" s="218" t="s">
        <v>7</v>
      </c>
      <c r="C82" s="41"/>
      <c r="D82" s="170">
        <f t="shared" ref="D82:Q82" si="12">D65+D74+D81</f>
        <v>67.675999999999988</v>
      </c>
      <c r="E82" s="170">
        <f t="shared" si="12"/>
        <v>47.418999999999997</v>
      </c>
      <c r="F82" s="170">
        <f t="shared" si="12"/>
        <v>206.04300000000001</v>
      </c>
      <c r="G82" s="170">
        <f t="shared" si="12"/>
        <v>1524.0630000000001</v>
      </c>
      <c r="H82" s="170">
        <f t="shared" si="12"/>
        <v>1.7610000000000003</v>
      </c>
      <c r="I82" s="170">
        <f t="shared" si="12"/>
        <v>70.492000000000004</v>
      </c>
      <c r="J82" s="170">
        <f t="shared" si="12"/>
        <v>0.311</v>
      </c>
      <c r="K82" s="170">
        <f t="shared" si="12"/>
        <v>9.5380000000000003</v>
      </c>
      <c r="L82" s="170">
        <f t="shared" si="12"/>
        <v>592.40200000000004</v>
      </c>
      <c r="M82" s="170">
        <f t="shared" si="12"/>
        <v>781.95999999999992</v>
      </c>
      <c r="N82" s="170">
        <f t="shared" si="12"/>
        <v>192.52100000000002</v>
      </c>
      <c r="O82" s="170">
        <f t="shared" si="12"/>
        <v>15.300199999999998</v>
      </c>
      <c r="P82" s="170">
        <f t="shared" si="12"/>
        <v>1.5649999999999999</v>
      </c>
      <c r="Q82" s="170">
        <f t="shared" si="12"/>
        <v>30.290000000000003</v>
      </c>
      <c r="R82" s="122"/>
      <c r="S82" s="122"/>
    </row>
    <row r="83" spans="1:19" s="4" customFormat="1" ht="20.25" customHeight="1" thickBot="1" x14ac:dyDescent="0.3">
      <c r="A83" s="344" t="s">
        <v>44</v>
      </c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8"/>
    </row>
    <row r="84" spans="1:19" s="4" customFormat="1" ht="20.25" customHeight="1" x14ac:dyDescent="0.25">
      <c r="A84" s="117"/>
      <c r="B84" s="305" t="s">
        <v>3</v>
      </c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46"/>
    </row>
    <row r="85" spans="1:19" s="63" customFormat="1" x14ac:dyDescent="0.2">
      <c r="A85" s="49">
        <v>1</v>
      </c>
      <c r="B85" s="47" t="s">
        <v>261</v>
      </c>
      <c r="C85" s="41">
        <v>150</v>
      </c>
      <c r="D85" s="176">
        <f>3.8*C85/100</f>
        <v>5.7</v>
      </c>
      <c r="E85" s="176">
        <f>4.8*C85/100</f>
        <v>7.2</v>
      </c>
      <c r="F85" s="176">
        <f>15.6*C85/100</f>
        <v>23.4</v>
      </c>
      <c r="G85" s="176">
        <f>120.8*C85/100</f>
        <v>181.2</v>
      </c>
      <c r="H85" s="42">
        <f>0.07*C85/100</f>
        <v>0.10500000000000002</v>
      </c>
      <c r="I85" s="42">
        <f>14.25*C85/100</f>
        <v>21.375</v>
      </c>
      <c r="J85" s="42">
        <f>0.03*C85/100</f>
        <v>4.4999999999999998E-2</v>
      </c>
      <c r="K85" s="42">
        <f>0.08*C85/100</f>
        <v>0.12</v>
      </c>
      <c r="L85" s="48">
        <f>10.45*C85/100</f>
        <v>15.675000000000001</v>
      </c>
      <c r="M85" s="48">
        <f>55.18*C85/100</f>
        <v>82.77</v>
      </c>
      <c r="N85" s="48">
        <f>20.27*C85/100</f>
        <v>30.405000000000001</v>
      </c>
      <c r="O85" s="42">
        <f>0.64*C85/100</f>
        <v>0.96</v>
      </c>
      <c r="P85" s="49">
        <f>0.01*C85/100</f>
        <v>1.4999999999999999E-2</v>
      </c>
      <c r="Q85" s="49">
        <f>3.3*C85/100</f>
        <v>4.95</v>
      </c>
      <c r="R85" s="233">
        <v>120201</v>
      </c>
      <c r="S85" s="233">
        <v>120202</v>
      </c>
    </row>
    <row r="86" spans="1:19" s="63" customFormat="1" x14ac:dyDescent="0.2">
      <c r="A86" s="49">
        <v>2</v>
      </c>
      <c r="B86" s="47" t="s">
        <v>147</v>
      </c>
      <c r="C86" s="59">
        <v>200</v>
      </c>
      <c r="D86" s="60">
        <f>0.1*C86/100</f>
        <v>0.2</v>
      </c>
      <c r="E86" s="60">
        <f>0.02*C86/100</f>
        <v>0.04</v>
      </c>
      <c r="F86" s="60">
        <f>5.11*C86/100</f>
        <v>10.220000000000001</v>
      </c>
      <c r="G86" s="42">
        <f>21.14*C86/100</f>
        <v>42.28</v>
      </c>
      <c r="H86" s="49">
        <f>C86*0/100</f>
        <v>0</v>
      </c>
      <c r="I86" s="49">
        <f>1.43*C86/100</f>
        <v>2.86</v>
      </c>
      <c r="J86" s="49">
        <f>C86*0/100000</f>
        <v>0</v>
      </c>
      <c r="K86" s="49">
        <f>C86*0.01/100</f>
        <v>0.02</v>
      </c>
      <c r="L86" s="48">
        <f>C86*7.87/100</f>
        <v>15.74</v>
      </c>
      <c r="M86" s="48">
        <f>C86*3.65/100</f>
        <v>7.3</v>
      </c>
      <c r="N86" s="48">
        <f>C86*2.98/100</f>
        <v>5.96</v>
      </c>
      <c r="O86" s="49">
        <f>C86*0.32/100</f>
        <v>0.64</v>
      </c>
      <c r="P86" s="49">
        <v>0</v>
      </c>
      <c r="Q86" s="49">
        <v>2.13</v>
      </c>
      <c r="R86" s="67">
        <v>160106</v>
      </c>
      <c r="S86" s="67"/>
    </row>
    <row r="87" spans="1:19" s="63" customFormat="1" x14ac:dyDescent="0.2">
      <c r="A87" s="49">
        <v>3</v>
      </c>
      <c r="B87" s="47" t="s">
        <v>160</v>
      </c>
      <c r="C87" s="41">
        <v>20</v>
      </c>
      <c r="D87" s="42">
        <f>7.76*C87/100</f>
        <v>1.5519999999999998</v>
      </c>
      <c r="E87" s="42">
        <f>2.65*C87/100</f>
        <v>0.53</v>
      </c>
      <c r="F87" s="42">
        <f>53.25*C87/100</f>
        <v>10.65</v>
      </c>
      <c r="G87" s="42">
        <f>273*C87/100</f>
        <v>54.6</v>
      </c>
      <c r="H87" s="42">
        <f>0.34*C87/100</f>
        <v>6.8000000000000005E-2</v>
      </c>
      <c r="I87" s="42">
        <f>0*C87/100</f>
        <v>0</v>
      </c>
      <c r="J87" s="42">
        <v>0</v>
      </c>
      <c r="K87" s="42">
        <f>1.5*C87/100</f>
        <v>0.3</v>
      </c>
      <c r="L87" s="48">
        <f>148.1*C87/100</f>
        <v>29.62</v>
      </c>
      <c r="M87" s="48">
        <f>0*C87/100</f>
        <v>0</v>
      </c>
      <c r="N87" s="48">
        <f>16*C87/100</f>
        <v>3.2</v>
      </c>
      <c r="O87" s="42">
        <f>2.4*C87/100</f>
        <v>0.48</v>
      </c>
      <c r="P87" s="56">
        <f>0.2*C87/100</f>
        <v>0.04</v>
      </c>
      <c r="Q87" s="56">
        <f>1.5*C87/100</f>
        <v>0.3</v>
      </c>
      <c r="R87" s="67">
        <v>200102</v>
      </c>
      <c r="S87" s="67"/>
    </row>
    <row r="88" spans="1:19" s="63" customFormat="1" ht="37.5" x14ac:dyDescent="0.2">
      <c r="A88" s="49">
        <v>4</v>
      </c>
      <c r="B88" s="47" t="s">
        <v>164</v>
      </c>
      <c r="C88" s="41">
        <v>10</v>
      </c>
      <c r="D88" s="42">
        <f>0.5*C88/100</f>
        <v>0.05</v>
      </c>
      <c r="E88" s="42">
        <f>82.5*C88/100</f>
        <v>8.25</v>
      </c>
      <c r="F88" s="42">
        <f>0.8*C88/100</f>
        <v>0.08</v>
      </c>
      <c r="G88" s="42">
        <f>748*C88/100</f>
        <v>74.8</v>
      </c>
      <c r="H88" s="42">
        <v>0</v>
      </c>
      <c r="I88" s="42">
        <v>0</v>
      </c>
      <c r="J88" s="42">
        <f>0.4*C88/100</f>
        <v>0.04</v>
      </c>
      <c r="K88" s="42">
        <f>1*C88/100</f>
        <v>0.1</v>
      </c>
      <c r="L88" s="48">
        <f>12*C88/100</f>
        <v>1.2</v>
      </c>
      <c r="M88" s="48">
        <f>19*C88/100</f>
        <v>1.9</v>
      </c>
      <c r="N88" s="48">
        <f>0*C88/100</f>
        <v>0</v>
      </c>
      <c r="O88" s="42">
        <f>0.2*C88/100</f>
        <v>0.02</v>
      </c>
      <c r="P88" s="56">
        <f>0.1*C88/100</f>
        <v>0.01</v>
      </c>
      <c r="Q88" s="49">
        <v>0</v>
      </c>
      <c r="R88" s="67"/>
      <c r="S88" s="67"/>
    </row>
    <row r="89" spans="1:19" s="53" customFormat="1" ht="18.75" customHeight="1" x14ac:dyDescent="0.3">
      <c r="A89" s="49">
        <v>5</v>
      </c>
      <c r="B89" s="47" t="s">
        <v>232</v>
      </c>
      <c r="C89" s="41" t="s">
        <v>274</v>
      </c>
      <c r="D89" s="42">
        <v>3.3</v>
      </c>
      <c r="E89" s="42">
        <v>1.1000000000000001</v>
      </c>
      <c r="F89" s="42">
        <v>46.2</v>
      </c>
      <c r="G89" s="42">
        <v>211.2</v>
      </c>
      <c r="H89" s="42">
        <v>8.8000000000000009E-2</v>
      </c>
      <c r="I89" s="42">
        <v>22</v>
      </c>
      <c r="J89" s="42">
        <v>0</v>
      </c>
      <c r="K89" s="42">
        <v>0.88</v>
      </c>
      <c r="L89" s="42">
        <v>17.600000000000001</v>
      </c>
      <c r="M89" s="42">
        <v>61.6</v>
      </c>
      <c r="N89" s="42">
        <v>92.4</v>
      </c>
      <c r="O89" s="42">
        <v>2.2000000000000001E-3</v>
      </c>
      <c r="P89" s="55">
        <v>0.11</v>
      </c>
      <c r="Q89" s="55">
        <v>0</v>
      </c>
      <c r="R89" s="122">
        <v>210103</v>
      </c>
      <c r="S89" s="122"/>
    </row>
    <row r="90" spans="1:19" s="4" customFormat="1" ht="18.75" customHeight="1" x14ac:dyDescent="0.25">
      <c r="A90" s="49"/>
      <c r="B90" s="218" t="s">
        <v>4</v>
      </c>
      <c r="C90" s="120"/>
      <c r="D90" s="172">
        <f t="shared" ref="D90:Q90" si="13">SUM(D85:D89)</f>
        <v>10.802</v>
      </c>
      <c r="E90" s="172">
        <f t="shared" si="13"/>
        <v>17.12</v>
      </c>
      <c r="F90" s="172">
        <f t="shared" si="13"/>
        <v>90.55</v>
      </c>
      <c r="G90" s="172">
        <f t="shared" si="13"/>
        <v>564.07999999999993</v>
      </c>
      <c r="H90" s="172">
        <f t="shared" si="13"/>
        <v>0.26100000000000007</v>
      </c>
      <c r="I90" s="172">
        <f t="shared" si="13"/>
        <v>46.234999999999999</v>
      </c>
      <c r="J90" s="172">
        <f t="shared" si="13"/>
        <v>8.4999999999999992E-2</v>
      </c>
      <c r="K90" s="172">
        <f t="shared" si="13"/>
        <v>1.42</v>
      </c>
      <c r="L90" s="172">
        <f t="shared" si="13"/>
        <v>79.835000000000008</v>
      </c>
      <c r="M90" s="172">
        <f t="shared" si="13"/>
        <v>153.57</v>
      </c>
      <c r="N90" s="172">
        <f t="shared" si="13"/>
        <v>131.965</v>
      </c>
      <c r="O90" s="172">
        <f t="shared" si="13"/>
        <v>2.1022000000000003</v>
      </c>
      <c r="P90" s="172">
        <f t="shared" si="13"/>
        <v>0.17499999999999999</v>
      </c>
      <c r="Q90" s="172">
        <f t="shared" si="13"/>
        <v>7.38</v>
      </c>
      <c r="R90" s="122"/>
      <c r="S90" s="122"/>
    </row>
    <row r="91" spans="1:19" s="4" customFormat="1" ht="18.75" customHeight="1" x14ac:dyDescent="0.25">
      <c r="A91" s="117"/>
      <c r="B91" s="301" t="s">
        <v>5</v>
      </c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47"/>
    </row>
    <row r="92" spans="1:19" s="63" customFormat="1" x14ac:dyDescent="0.2">
      <c r="A92" s="49">
        <v>1</v>
      </c>
      <c r="B92" s="47" t="s">
        <v>39</v>
      </c>
      <c r="C92" s="182">
        <v>60</v>
      </c>
      <c r="D92" s="42">
        <f>1.57*C92/100</f>
        <v>0.94200000000000006</v>
      </c>
      <c r="E92" s="42">
        <f>10.18*C92/100</f>
        <v>6.1079999999999997</v>
      </c>
      <c r="F92" s="42">
        <f>6.7*C92/100</f>
        <v>4.0199999999999996</v>
      </c>
      <c r="G92" s="42">
        <f>129.23*C92/100</f>
        <v>77.537999999999997</v>
      </c>
      <c r="H92" s="42">
        <f>0.06*C92/100</f>
        <v>3.5999999999999997E-2</v>
      </c>
      <c r="I92" s="42">
        <f>8.75*C92/100</f>
        <v>5.25</v>
      </c>
      <c r="J92" s="42">
        <v>0</v>
      </c>
      <c r="K92" s="42">
        <f>1.85*C92/100</f>
        <v>1.1100000000000001</v>
      </c>
      <c r="L92" s="48">
        <f>21.76*C92/100</f>
        <v>13.056000000000001</v>
      </c>
      <c r="M92" s="48">
        <f>44.85*C92/100</f>
        <v>26.91</v>
      </c>
      <c r="N92" s="48">
        <f>18.39*C92/100</f>
        <v>11.034000000000001</v>
      </c>
      <c r="O92" s="42">
        <f>0.77*C92/100</f>
        <v>0.46200000000000002</v>
      </c>
      <c r="P92" s="49">
        <f>0.04*C92/100</f>
        <v>2.4E-2</v>
      </c>
      <c r="Q92" s="49">
        <v>1.82</v>
      </c>
      <c r="R92" s="67">
        <v>100501</v>
      </c>
      <c r="S92" s="67"/>
    </row>
    <row r="93" spans="1:19" s="63" customFormat="1" x14ac:dyDescent="0.2">
      <c r="A93" s="49">
        <v>2</v>
      </c>
      <c r="B93" s="47" t="s">
        <v>72</v>
      </c>
      <c r="C93" s="41">
        <v>250</v>
      </c>
      <c r="D93" s="42">
        <f>0.8*C93/100</f>
        <v>2</v>
      </c>
      <c r="E93" s="42">
        <f>1.5*C93/100</f>
        <v>3.75</v>
      </c>
      <c r="F93" s="42">
        <f>5*C93/100</f>
        <v>12.5</v>
      </c>
      <c r="G93" s="42">
        <f>36.7*C93/100</f>
        <v>91.75</v>
      </c>
      <c r="H93" s="42">
        <f>0.02*C93/100</f>
        <v>0.05</v>
      </c>
      <c r="I93" s="42">
        <f>1.23*C93/100</f>
        <v>3.0750000000000002</v>
      </c>
      <c r="J93" s="42">
        <f>0.01*C93/100</f>
        <v>2.5000000000000001E-2</v>
      </c>
      <c r="K93" s="42">
        <f>0.05*C93/100</f>
        <v>0.125</v>
      </c>
      <c r="L93" s="48">
        <f>6.7*C93/100</f>
        <v>16.75</v>
      </c>
      <c r="M93" s="48">
        <f>33.69*C93/100</f>
        <v>84.224999999999994</v>
      </c>
      <c r="N93" s="48">
        <f>6.12*C93/100</f>
        <v>15.3</v>
      </c>
      <c r="O93" s="42">
        <f>0.81*C93/100</f>
        <v>2.0249999999999999</v>
      </c>
      <c r="P93" s="49">
        <f>0.02*C93/100</f>
        <v>0.05</v>
      </c>
      <c r="Q93" s="49">
        <v>39.43</v>
      </c>
      <c r="R93" s="67">
        <v>110318</v>
      </c>
      <c r="S93" s="67">
        <v>110319</v>
      </c>
    </row>
    <row r="94" spans="1:19" s="63" customFormat="1" x14ac:dyDescent="0.2">
      <c r="A94" s="49">
        <v>3</v>
      </c>
      <c r="B94" s="47" t="s">
        <v>193</v>
      </c>
      <c r="C94" s="41">
        <v>100</v>
      </c>
      <c r="D94" s="42">
        <f>14*C94/100</f>
        <v>14</v>
      </c>
      <c r="E94" s="42">
        <f>7.1*C94/100</f>
        <v>7.1</v>
      </c>
      <c r="F94" s="42">
        <f>14.2*C94/100</f>
        <v>14.2</v>
      </c>
      <c r="G94" s="42">
        <f>176.7*C94/100</f>
        <v>176.7</v>
      </c>
      <c r="H94" s="42">
        <f>0.1*C94/100</f>
        <v>0.1</v>
      </c>
      <c r="I94" s="42">
        <f>1.2*C94/100</f>
        <v>1.2</v>
      </c>
      <c r="J94" s="42">
        <f>0.05*C94/100</f>
        <v>0.05</v>
      </c>
      <c r="K94" s="42">
        <f>0.43*C94/100</f>
        <v>0.43</v>
      </c>
      <c r="L94" s="48">
        <f>17.62*C94/100</f>
        <v>17.62</v>
      </c>
      <c r="M94" s="48">
        <f>238.11*C94/100</f>
        <v>238.11</v>
      </c>
      <c r="N94" s="48">
        <f>25.98*C94/100</f>
        <v>25.98</v>
      </c>
      <c r="O94" s="42">
        <f>1.92*C94/100</f>
        <v>1.92</v>
      </c>
      <c r="P94" s="49">
        <f>0.26*C94/100</f>
        <v>0.26</v>
      </c>
      <c r="Q94" s="49">
        <v>3.83</v>
      </c>
      <c r="R94" s="67">
        <v>120615</v>
      </c>
      <c r="S94" s="67">
        <v>120616</v>
      </c>
    </row>
    <row r="95" spans="1:19" s="63" customFormat="1" x14ac:dyDescent="0.2">
      <c r="A95" s="49">
        <v>4</v>
      </c>
      <c r="B95" s="47" t="s">
        <v>13</v>
      </c>
      <c r="C95" s="41">
        <v>30</v>
      </c>
      <c r="D95" s="60">
        <f>0.9*C95/100</f>
        <v>0.27</v>
      </c>
      <c r="E95" s="60">
        <f>4.5*C95/100</f>
        <v>1.35</v>
      </c>
      <c r="F95" s="60">
        <f>7.4*C95/100</f>
        <v>2.2200000000000002</v>
      </c>
      <c r="G95" s="60">
        <f>73.7*C95/100</f>
        <v>22.11</v>
      </c>
      <c r="H95" s="42">
        <v>8.9999999999999993E-3</v>
      </c>
      <c r="I95" s="42">
        <v>0.15</v>
      </c>
      <c r="J95" s="42">
        <v>6.0000000000000001E-3</v>
      </c>
      <c r="K95" s="42">
        <v>0.03</v>
      </c>
      <c r="L95" s="48">
        <v>46.05</v>
      </c>
      <c r="M95" s="48">
        <v>32.85</v>
      </c>
      <c r="N95" s="48">
        <v>5.0999999999999996</v>
      </c>
      <c r="O95" s="42">
        <v>0.03</v>
      </c>
      <c r="P95" s="49">
        <v>0.03</v>
      </c>
      <c r="Q95" s="49">
        <v>1.35</v>
      </c>
      <c r="R95" s="67">
        <v>140104</v>
      </c>
      <c r="S95" s="67">
        <v>140105</v>
      </c>
    </row>
    <row r="96" spans="1:19" s="63" customFormat="1" x14ac:dyDescent="0.2">
      <c r="A96" s="49">
        <v>5</v>
      </c>
      <c r="B96" s="47" t="s">
        <v>183</v>
      </c>
      <c r="C96" s="41">
        <v>150</v>
      </c>
      <c r="D96" s="42">
        <f>2.095*C96/100</f>
        <v>3.1425000000000005</v>
      </c>
      <c r="E96" s="42">
        <f>5.135*C96/100</f>
        <v>7.7024999999999997</v>
      </c>
      <c r="F96" s="42">
        <f>12.04*C96/100</f>
        <v>18.059999999999999</v>
      </c>
      <c r="G96" s="42">
        <f>93.4*C96/100</f>
        <v>140.1</v>
      </c>
      <c r="H96" s="94">
        <f>0.1*C96/100</f>
        <v>0.15</v>
      </c>
      <c r="I96" s="94">
        <f>13.71*C96/100</f>
        <v>20.565000000000001</v>
      </c>
      <c r="J96" s="94">
        <f>0.02*C96/100</f>
        <v>0.03</v>
      </c>
      <c r="K96" s="94">
        <f>0.15*C96/100</f>
        <v>0.22500000000000001</v>
      </c>
      <c r="L96" s="124">
        <f>9.35*C96/100</f>
        <v>14.025</v>
      </c>
      <c r="M96" s="124">
        <f>51.96*C96/100</f>
        <v>77.94</v>
      </c>
      <c r="N96" s="124">
        <f>19.14*C96/100</f>
        <v>28.71</v>
      </c>
      <c r="O96" s="94">
        <f>0.77*C96/100</f>
        <v>1.155</v>
      </c>
      <c r="P96" s="49">
        <f>0.06*C96/100</f>
        <v>0.09</v>
      </c>
      <c r="Q96" s="49">
        <v>4.8899999999999997</v>
      </c>
      <c r="R96" s="67">
        <v>130103</v>
      </c>
      <c r="S96" s="67">
        <v>130104</v>
      </c>
    </row>
    <row r="97" spans="1:19" s="37" customFormat="1" ht="37.5" x14ac:dyDescent="0.2">
      <c r="A97" s="49">
        <v>6</v>
      </c>
      <c r="B97" s="47" t="s">
        <v>130</v>
      </c>
      <c r="C97" s="41">
        <v>200</v>
      </c>
      <c r="D97" s="42">
        <f>0.09*C97/100</f>
        <v>0.18</v>
      </c>
      <c r="E97" s="42">
        <f>0.04*C97/100</f>
        <v>0.08</v>
      </c>
      <c r="F97" s="42">
        <f>8.76*C97/100</f>
        <v>17.52</v>
      </c>
      <c r="G97" s="42">
        <f>26.45*C97/100</f>
        <v>52.9</v>
      </c>
      <c r="H97" s="42">
        <f>0.02*C97/100</f>
        <v>0.04</v>
      </c>
      <c r="I97" s="42">
        <f>52.8*C97/100</f>
        <v>105.6</v>
      </c>
      <c r="J97" s="42">
        <f>0*C97/100</f>
        <v>0</v>
      </c>
      <c r="K97" s="42">
        <v>0</v>
      </c>
      <c r="L97" s="48">
        <f>35.02*C97/100</f>
        <v>70.040000000000006</v>
      </c>
      <c r="M97" s="48">
        <v>0</v>
      </c>
      <c r="N97" s="48">
        <f>0.9*C97/100</f>
        <v>1.8</v>
      </c>
      <c r="O97" s="42">
        <f>1.07*C97/100</f>
        <v>2.14</v>
      </c>
      <c r="P97" s="62">
        <f>0.04*C97/100</f>
        <v>0.08</v>
      </c>
      <c r="Q97" s="62">
        <v>2.3199999999999998</v>
      </c>
      <c r="R97" s="67">
        <v>160205</v>
      </c>
      <c r="S97" s="67"/>
    </row>
    <row r="98" spans="1:19" s="63" customFormat="1" x14ac:dyDescent="0.2">
      <c r="A98" s="49">
        <v>7</v>
      </c>
      <c r="B98" s="47" t="s">
        <v>160</v>
      </c>
      <c r="C98" s="41">
        <v>40</v>
      </c>
      <c r="D98" s="42">
        <f>7.76*C98/100</f>
        <v>3.1039999999999996</v>
      </c>
      <c r="E98" s="42">
        <f>2.65*C98/100</f>
        <v>1.06</v>
      </c>
      <c r="F98" s="42">
        <f>53.25*C98/100</f>
        <v>21.3</v>
      </c>
      <c r="G98" s="42">
        <f>273*C98/100</f>
        <v>109.2</v>
      </c>
      <c r="H98" s="42">
        <f>0.34*C98/100</f>
        <v>0.13600000000000001</v>
      </c>
      <c r="I98" s="42">
        <f>0*C98/100</f>
        <v>0</v>
      </c>
      <c r="J98" s="42">
        <v>0</v>
      </c>
      <c r="K98" s="42">
        <f>1.5*C98/100</f>
        <v>0.6</v>
      </c>
      <c r="L98" s="48">
        <f>148.1*C98/100</f>
        <v>59.24</v>
      </c>
      <c r="M98" s="48">
        <f>0*C98/100</f>
        <v>0</v>
      </c>
      <c r="N98" s="48">
        <f>16*C98/100</f>
        <v>6.4</v>
      </c>
      <c r="O98" s="42">
        <f>2.4*C98/100</f>
        <v>0.96</v>
      </c>
      <c r="P98" s="56">
        <f>0.2*C98/100</f>
        <v>0.08</v>
      </c>
      <c r="Q98" s="56">
        <f>1.5*C98/100</f>
        <v>0.6</v>
      </c>
      <c r="R98" s="67">
        <v>200102</v>
      </c>
      <c r="S98" s="67"/>
    </row>
    <row r="99" spans="1:19" s="63" customFormat="1" x14ac:dyDescent="0.2">
      <c r="A99" s="49">
        <v>8</v>
      </c>
      <c r="B99" s="47" t="s">
        <v>159</v>
      </c>
      <c r="C99" s="41">
        <v>20</v>
      </c>
      <c r="D99" s="42">
        <f>5.86*C99/100</f>
        <v>1.1719999999999999</v>
      </c>
      <c r="E99" s="42">
        <f>0.94*C99/100</f>
        <v>0.18799999999999997</v>
      </c>
      <c r="F99" s="42">
        <f>44.4*C99/100</f>
        <v>8.8800000000000008</v>
      </c>
      <c r="G99" s="42">
        <f>189*C99/100</f>
        <v>37.799999999999997</v>
      </c>
      <c r="H99" s="42">
        <f>0.4*C99/100</f>
        <v>0.08</v>
      </c>
      <c r="I99" s="42">
        <f>0.03*C99/100</f>
        <v>6.0000000000000001E-3</v>
      </c>
      <c r="J99" s="42">
        <v>0</v>
      </c>
      <c r="K99" s="42">
        <f>1.7*C99/100</f>
        <v>0.34</v>
      </c>
      <c r="L99" s="48">
        <f>25.4*C99/100</f>
        <v>5.08</v>
      </c>
      <c r="M99" s="48">
        <f>105.53*C99/100</f>
        <v>21.105999999999998</v>
      </c>
      <c r="N99" s="48">
        <f>36.5*C99/100</f>
        <v>7.3</v>
      </c>
      <c r="O99" s="42">
        <f>2.45*C99/100</f>
        <v>0.49</v>
      </c>
      <c r="P99" s="56">
        <f>0.2*C99/100</f>
        <v>0.04</v>
      </c>
      <c r="Q99" s="56">
        <f>10*C99/100</f>
        <v>2</v>
      </c>
      <c r="R99" s="67">
        <v>200103</v>
      </c>
      <c r="S99" s="67"/>
    </row>
    <row r="100" spans="1:19" s="52" customFormat="1" x14ac:dyDescent="0.2">
      <c r="A100" s="49">
        <v>9</v>
      </c>
      <c r="B100" s="47" t="s">
        <v>139</v>
      </c>
      <c r="C100" s="59">
        <v>20</v>
      </c>
      <c r="D100" s="60">
        <f>0.8*C100/100</f>
        <v>0.16</v>
      </c>
      <c r="E100" s="60">
        <f>0.05*C100/100</f>
        <v>0.01</v>
      </c>
      <c r="F100" s="60">
        <f>80.3*C100/100</f>
        <v>16.059999999999999</v>
      </c>
      <c r="G100" s="42">
        <f>323.6*C100/100</f>
        <v>64.72</v>
      </c>
      <c r="H100" s="42">
        <f>0.34*C100/100</f>
        <v>6.8000000000000005E-2</v>
      </c>
      <c r="I100" s="42">
        <f>0*C100/100</f>
        <v>0</v>
      </c>
      <c r="J100" s="42">
        <v>2</v>
      </c>
      <c r="K100" s="42">
        <f>1.5*C100/100</f>
        <v>0.3</v>
      </c>
      <c r="L100" s="48">
        <f>148.1*C100/100</f>
        <v>29.62</v>
      </c>
      <c r="M100" s="48">
        <f>0*C100/100</f>
        <v>0</v>
      </c>
      <c r="N100" s="48">
        <f>16*C100/100</f>
        <v>3.2</v>
      </c>
      <c r="O100" s="42">
        <f>2.4*C100/100</f>
        <v>0.48</v>
      </c>
      <c r="P100" s="56">
        <f>0.2*C100/100</f>
        <v>0.04</v>
      </c>
      <c r="Q100" s="56">
        <v>0</v>
      </c>
      <c r="R100" s="67"/>
      <c r="S100" s="67"/>
    </row>
    <row r="101" spans="1:19" s="4" customFormat="1" ht="18.75" customHeight="1" x14ac:dyDescent="0.3">
      <c r="A101" s="125"/>
      <c r="B101" s="218" t="s">
        <v>4</v>
      </c>
      <c r="C101" s="120"/>
      <c r="D101" s="172">
        <f t="shared" ref="D101:Q101" si="14">SUM(D92:D100)</f>
        <v>24.970500000000001</v>
      </c>
      <c r="E101" s="172">
        <f t="shared" si="14"/>
        <v>27.348499999999998</v>
      </c>
      <c r="F101" s="172">
        <f t="shared" si="14"/>
        <v>114.75999999999999</v>
      </c>
      <c r="G101" s="172">
        <f t="shared" si="14"/>
        <v>772.81799999999998</v>
      </c>
      <c r="H101" s="172">
        <f t="shared" si="14"/>
        <v>0.66899999999999982</v>
      </c>
      <c r="I101" s="172">
        <f t="shared" si="14"/>
        <v>135.846</v>
      </c>
      <c r="J101" s="172">
        <f t="shared" si="14"/>
        <v>2.1110000000000002</v>
      </c>
      <c r="K101" s="172">
        <f t="shared" si="14"/>
        <v>3.1599999999999997</v>
      </c>
      <c r="L101" s="172">
        <f t="shared" si="14"/>
        <v>271.48099999999999</v>
      </c>
      <c r="M101" s="172">
        <f t="shared" si="14"/>
        <v>481.14100000000002</v>
      </c>
      <c r="N101" s="172">
        <f t="shared" si="14"/>
        <v>104.82400000000001</v>
      </c>
      <c r="O101" s="172">
        <f t="shared" si="14"/>
        <v>9.6620000000000008</v>
      </c>
      <c r="P101" s="192">
        <f t="shared" si="14"/>
        <v>0.69399999999999995</v>
      </c>
      <c r="Q101" s="192">
        <f t="shared" si="14"/>
        <v>56.24</v>
      </c>
      <c r="R101" s="122"/>
      <c r="S101" s="122"/>
    </row>
    <row r="102" spans="1:19" s="4" customFormat="1" ht="18.75" customHeight="1" x14ac:dyDescent="0.25">
      <c r="A102" s="193"/>
      <c r="B102" s="301" t="s">
        <v>35</v>
      </c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47"/>
    </row>
    <row r="103" spans="1:19" s="63" customFormat="1" x14ac:dyDescent="0.2">
      <c r="A103" s="49">
        <v>1</v>
      </c>
      <c r="B103" s="47" t="s">
        <v>122</v>
      </c>
      <c r="C103" s="41">
        <v>200</v>
      </c>
      <c r="D103" s="94">
        <f>2.25*C103/100</f>
        <v>4.5</v>
      </c>
      <c r="E103" s="94">
        <f>2.24*C103/100</f>
        <v>4.4800000000000004</v>
      </c>
      <c r="F103" s="94">
        <f>10.25*C103/100</f>
        <v>20.5</v>
      </c>
      <c r="G103" s="94">
        <f>70.23*C103/100</f>
        <v>140.46</v>
      </c>
      <c r="H103" s="42">
        <f>0.13*C103/100</f>
        <v>0.26</v>
      </c>
      <c r="I103" s="42">
        <f>7*C103/100</f>
        <v>14</v>
      </c>
      <c r="J103" s="42">
        <f>0*C103/100</f>
        <v>0</v>
      </c>
      <c r="K103" s="42">
        <v>0</v>
      </c>
      <c r="L103" s="48">
        <f>1.55*C103/100</f>
        <v>3.1</v>
      </c>
      <c r="M103" s="48">
        <v>0</v>
      </c>
      <c r="N103" s="48">
        <f>0.3*C103/100</f>
        <v>0.6</v>
      </c>
      <c r="O103" s="42">
        <f>0.02*C103/100</f>
        <v>0.04</v>
      </c>
      <c r="P103" s="49">
        <v>0</v>
      </c>
      <c r="Q103" s="49">
        <v>3.58</v>
      </c>
      <c r="R103" s="67">
        <v>160104</v>
      </c>
      <c r="S103" s="67"/>
    </row>
    <row r="104" spans="1:19" s="63" customFormat="1" ht="37.5" customHeight="1" x14ac:dyDescent="0.2">
      <c r="A104" s="49">
        <v>2</v>
      </c>
      <c r="B104" s="47" t="s">
        <v>236</v>
      </c>
      <c r="C104" s="41">
        <v>50</v>
      </c>
      <c r="D104" s="220">
        <f>11.4*C104/100</f>
        <v>5.7</v>
      </c>
      <c r="E104" s="220">
        <f>6.2*C104/100</f>
        <v>3.1</v>
      </c>
      <c r="F104" s="220">
        <f>54.8*C104/100</f>
        <v>27.4</v>
      </c>
      <c r="G104" s="220">
        <f>320.6*C104/100</f>
        <v>160.30000000000001</v>
      </c>
      <c r="H104" s="42">
        <f>0.12*C104/100</f>
        <v>0.06</v>
      </c>
      <c r="I104" s="42">
        <f>0*C104/100</f>
        <v>0</v>
      </c>
      <c r="J104" s="42">
        <f>0.13*C104/100</f>
        <v>6.5000000000000002E-2</v>
      </c>
      <c r="K104" s="42">
        <f>5.55*C104/100</f>
        <v>2.7749999999999999</v>
      </c>
      <c r="L104" s="48">
        <f>44.66*C104/100</f>
        <v>22.33</v>
      </c>
      <c r="M104" s="48">
        <f>148.03*C104/100</f>
        <v>74.015000000000001</v>
      </c>
      <c r="N104" s="48">
        <f>21.6*C104/100</f>
        <v>10.8</v>
      </c>
      <c r="O104" s="42">
        <f>1.35*C104/100</f>
        <v>0.67500000000000004</v>
      </c>
      <c r="P104" s="49">
        <v>0.03</v>
      </c>
      <c r="Q104" s="49">
        <v>0.83</v>
      </c>
      <c r="R104" s="231" t="s">
        <v>243</v>
      </c>
      <c r="S104" s="67">
        <v>190106</v>
      </c>
    </row>
    <row r="105" spans="1:19" s="46" customFormat="1" ht="20.25" customHeight="1" x14ac:dyDescent="0.3">
      <c r="A105" s="49"/>
      <c r="B105" s="218" t="s">
        <v>4</v>
      </c>
      <c r="C105" s="120"/>
      <c r="D105" s="172">
        <f t="shared" ref="D105:Q105" si="15">SUM(D103:D104)</f>
        <v>10.199999999999999</v>
      </c>
      <c r="E105" s="172">
        <f t="shared" si="15"/>
        <v>7.58</v>
      </c>
      <c r="F105" s="172">
        <f t="shared" si="15"/>
        <v>47.9</v>
      </c>
      <c r="G105" s="172">
        <f t="shared" si="15"/>
        <v>300.76</v>
      </c>
      <c r="H105" s="172">
        <f t="shared" si="15"/>
        <v>0.32</v>
      </c>
      <c r="I105" s="172">
        <f t="shared" si="15"/>
        <v>14</v>
      </c>
      <c r="J105" s="172">
        <f t="shared" si="15"/>
        <v>6.5000000000000002E-2</v>
      </c>
      <c r="K105" s="172">
        <f t="shared" si="15"/>
        <v>2.7749999999999999</v>
      </c>
      <c r="L105" s="172">
        <f t="shared" si="15"/>
        <v>25.43</v>
      </c>
      <c r="M105" s="172">
        <f t="shared" si="15"/>
        <v>74.015000000000001</v>
      </c>
      <c r="N105" s="172">
        <f t="shared" si="15"/>
        <v>11.4</v>
      </c>
      <c r="O105" s="172">
        <f t="shared" si="15"/>
        <v>0.71500000000000008</v>
      </c>
      <c r="P105" s="192">
        <f t="shared" si="15"/>
        <v>0.03</v>
      </c>
      <c r="Q105" s="192">
        <f t="shared" si="15"/>
        <v>4.41</v>
      </c>
      <c r="R105" s="122"/>
      <c r="S105" s="122"/>
    </row>
    <row r="106" spans="1:19" s="46" customFormat="1" ht="20.25" customHeight="1" x14ac:dyDescent="0.25">
      <c r="A106" s="49"/>
      <c r="B106" s="218" t="s">
        <v>7</v>
      </c>
      <c r="C106" s="120"/>
      <c r="D106" s="172">
        <f t="shared" ref="D106:Q106" si="16">D90+D101+D105</f>
        <v>45.972499999999997</v>
      </c>
      <c r="E106" s="172">
        <f t="shared" si="16"/>
        <v>52.048499999999997</v>
      </c>
      <c r="F106" s="172">
        <f t="shared" si="16"/>
        <v>253.21</v>
      </c>
      <c r="G106" s="172">
        <f t="shared" si="16"/>
        <v>1637.6579999999999</v>
      </c>
      <c r="H106" s="172">
        <f t="shared" si="16"/>
        <v>1.25</v>
      </c>
      <c r="I106" s="172">
        <f t="shared" si="16"/>
        <v>196.08100000000002</v>
      </c>
      <c r="J106" s="172">
        <f t="shared" si="16"/>
        <v>2.2610000000000001</v>
      </c>
      <c r="K106" s="172">
        <f t="shared" si="16"/>
        <v>7.3550000000000004</v>
      </c>
      <c r="L106" s="172">
        <f t="shared" si="16"/>
        <v>376.74600000000004</v>
      </c>
      <c r="M106" s="172">
        <f t="shared" si="16"/>
        <v>708.726</v>
      </c>
      <c r="N106" s="172">
        <f t="shared" si="16"/>
        <v>248.18900000000002</v>
      </c>
      <c r="O106" s="172">
        <f t="shared" si="16"/>
        <v>12.479200000000001</v>
      </c>
      <c r="P106" s="172">
        <f t="shared" si="16"/>
        <v>0.89900000000000002</v>
      </c>
      <c r="Q106" s="172">
        <f t="shared" si="16"/>
        <v>68.03</v>
      </c>
      <c r="R106" s="122"/>
      <c r="S106" s="122"/>
    </row>
    <row r="107" spans="1:19" s="46" customFormat="1" ht="21" customHeight="1" thickBot="1" x14ac:dyDescent="0.3">
      <c r="A107" s="344" t="s">
        <v>45</v>
      </c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8"/>
    </row>
    <row r="108" spans="1:19" s="4" customFormat="1" x14ac:dyDescent="0.25">
      <c r="A108" s="117"/>
      <c r="B108" s="301" t="s">
        <v>3</v>
      </c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47"/>
    </row>
    <row r="109" spans="1:19" s="63" customFormat="1" ht="37.5" x14ac:dyDescent="0.2">
      <c r="A109" s="49">
        <v>1</v>
      </c>
      <c r="B109" s="47" t="s">
        <v>227</v>
      </c>
      <c r="C109" s="41">
        <v>98</v>
      </c>
      <c r="D109" s="42">
        <f>10.4*C109/100</f>
        <v>10.192</v>
      </c>
      <c r="E109" s="42">
        <f>20.1*C109/100</f>
        <v>19.698</v>
      </c>
      <c r="F109" s="42">
        <f>0.8*C109/100</f>
        <v>0.78400000000000003</v>
      </c>
      <c r="G109" s="42">
        <f>226*C109/100</f>
        <v>221.48</v>
      </c>
      <c r="H109" s="42">
        <f>0.03*C109/100</f>
        <v>2.9399999999999999E-2</v>
      </c>
      <c r="I109" s="42">
        <f>0*C109/100</f>
        <v>0</v>
      </c>
      <c r="J109" s="42">
        <f>0*C109/100</f>
        <v>0</v>
      </c>
      <c r="K109" s="42">
        <f>0*C109/100</f>
        <v>0</v>
      </c>
      <c r="L109" s="48">
        <f>25*C109/100</f>
        <v>24.5</v>
      </c>
      <c r="M109" s="48">
        <f>0*C109/100</f>
        <v>0</v>
      </c>
      <c r="N109" s="48">
        <f>0*C109/100</f>
        <v>0</v>
      </c>
      <c r="O109" s="42">
        <f>1.8*C109/100</f>
        <v>1.764</v>
      </c>
      <c r="P109" s="49">
        <f>0.09*C109/100</f>
        <v>8.8200000000000001E-2</v>
      </c>
      <c r="Q109" s="49">
        <v>3.5</v>
      </c>
      <c r="R109" s="233">
        <v>120501</v>
      </c>
      <c r="S109" s="67"/>
    </row>
    <row r="110" spans="1:19" s="63" customFormat="1" x14ac:dyDescent="0.2">
      <c r="A110" s="49">
        <v>2</v>
      </c>
      <c r="B110" s="47" t="s">
        <v>194</v>
      </c>
      <c r="C110" s="41">
        <v>150</v>
      </c>
      <c r="D110" s="42">
        <f>2.96*C110/100</f>
        <v>4.4400000000000004</v>
      </c>
      <c r="E110" s="42">
        <f>2.67*C110/100</f>
        <v>4.0049999999999999</v>
      </c>
      <c r="F110" s="42">
        <f>5.48*C110/100</f>
        <v>8.2200000000000006</v>
      </c>
      <c r="G110" s="42">
        <f>59.24*C110/100</f>
        <v>88.86</v>
      </c>
      <c r="H110" s="42">
        <f>0.06*C110/100</f>
        <v>0.09</v>
      </c>
      <c r="I110" s="42">
        <f>10*C110/100</f>
        <v>15</v>
      </c>
      <c r="J110" s="42">
        <f>0.01*C110/100</f>
        <v>1.4999999999999999E-2</v>
      </c>
      <c r="K110" s="42">
        <f>0.23*C110/100</f>
        <v>0.34499999999999997</v>
      </c>
      <c r="L110" s="48">
        <f>20.36*C110/100</f>
        <v>30.54</v>
      </c>
      <c r="M110" s="48">
        <f>61.95*C110/100</f>
        <v>92.924999999999997</v>
      </c>
      <c r="N110" s="48">
        <f>20.58*C110/100</f>
        <v>30.869999999999994</v>
      </c>
      <c r="O110" s="42">
        <f>0.69*C110/100</f>
        <v>1.0349999999999999</v>
      </c>
      <c r="P110" s="49">
        <f>0.04*C110/100</f>
        <v>0.06</v>
      </c>
      <c r="Q110" s="49">
        <f>5.09*C110/100</f>
        <v>7.6349999999999998</v>
      </c>
      <c r="R110" s="67">
        <v>130206</v>
      </c>
      <c r="S110" s="67"/>
    </row>
    <row r="111" spans="1:19" s="63" customFormat="1" x14ac:dyDescent="0.2">
      <c r="A111" s="49">
        <v>3</v>
      </c>
      <c r="B111" s="47" t="s">
        <v>31</v>
      </c>
      <c r="C111" s="59">
        <v>200</v>
      </c>
      <c r="D111" s="60">
        <v>0</v>
      </c>
      <c r="E111" s="60">
        <v>0</v>
      </c>
      <c r="F111" s="60">
        <f>4.99*C111/100</f>
        <v>9.98</v>
      </c>
      <c r="G111" s="42">
        <f>19.95*C111/100</f>
        <v>39.9</v>
      </c>
      <c r="H111" s="42">
        <v>0</v>
      </c>
      <c r="I111" s="42">
        <v>0</v>
      </c>
      <c r="J111" s="42">
        <v>0</v>
      </c>
      <c r="K111" s="42">
        <v>0</v>
      </c>
      <c r="L111" s="48">
        <f>8.15*C111/100</f>
        <v>16.3</v>
      </c>
      <c r="M111" s="48">
        <f>0.02*C111/100</f>
        <v>0.04</v>
      </c>
      <c r="N111" s="48">
        <f>1.79*C111/100</f>
        <v>3.58</v>
      </c>
      <c r="O111" s="42">
        <f>0.02*C111/100</f>
        <v>0.04</v>
      </c>
      <c r="P111" s="49">
        <f>0.01*C111/100</f>
        <v>0.02</v>
      </c>
      <c r="Q111" s="49">
        <v>0.48</v>
      </c>
      <c r="R111" s="67">
        <v>160105</v>
      </c>
      <c r="S111" s="67"/>
    </row>
    <row r="112" spans="1:19" s="63" customFormat="1" x14ac:dyDescent="0.2">
      <c r="A112" s="49">
        <v>4</v>
      </c>
      <c r="B112" s="47" t="s">
        <v>160</v>
      </c>
      <c r="C112" s="41">
        <v>20</v>
      </c>
      <c r="D112" s="42">
        <f>7.76*C112/100</f>
        <v>1.5519999999999998</v>
      </c>
      <c r="E112" s="42">
        <f>2.65*C112/100</f>
        <v>0.53</v>
      </c>
      <c r="F112" s="42">
        <f>53.25*C112/100</f>
        <v>10.65</v>
      </c>
      <c r="G112" s="42">
        <f>273*C112/100</f>
        <v>54.6</v>
      </c>
      <c r="H112" s="42">
        <f>0.34*C112/100</f>
        <v>6.8000000000000005E-2</v>
      </c>
      <c r="I112" s="42">
        <f>0*C112/100</f>
        <v>0</v>
      </c>
      <c r="J112" s="42">
        <v>0</v>
      </c>
      <c r="K112" s="42">
        <f>1.5*C112/100</f>
        <v>0.3</v>
      </c>
      <c r="L112" s="48">
        <f>148.1*C112/100</f>
        <v>29.62</v>
      </c>
      <c r="M112" s="48">
        <f>0*C112/100</f>
        <v>0</v>
      </c>
      <c r="N112" s="48">
        <f>16*C112/100</f>
        <v>3.2</v>
      </c>
      <c r="O112" s="42">
        <f>2.4*C112/100</f>
        <v>0.48</v>
      </c>
      <c r="P112" s="56">
        <f>0.2*C112/100</f>
        <v>0.04</v>
      </c>
      <c r="Q112" s="56">
        <f>1.5*C112/100</f>
        <v>0.3</v>
      </c>
      <c r="R112" s="67">
        <v>200102</v>
      </c>
      <c r="S112" s="67"/>
    </row>
    <row r="113" spans="1:19" s="46" customFormat="1" ht="18.75" customHeight="1" x14ac:dyDescent="0.25">
      <c r="A113" s="49">
        <v>5</v>
      </c>
      <c r="B113" s="47" t="s">
        <v>269</v>
      </c>
      <c r="C113" s="41">
        <v>150</v>
      </c>
      <c r="D113" s="42">
        <f>1.2*C113/100</f>
        <v>1.8</v>
      </c>
      <c r="E113" s="42">
        <f>0*C113/100</f>
        <v>0</v>
      </c>
      <c r="F113" s="42">
        <f>30.18*C113/100</f>
        <v>45.27</v>
      </c>
      <c r="G113" s="42">
        <f>125.5*C113/100</f>
        <v>188.25</v>
      </c>
      <c r="H113" s="42">
        <v>0</v>
      </c>
      <c r="I113" s="42">
        <f>0.8*C113/100</f>
        <v>1.2</v>
      </c>
      <c r="J113" s="42">
        <v>0</v>
      </c>
      <c r="K113" s="42">
        <v>0</v>
      </c>
      <c r="L113" s="48">
        <f>28.96*C113/100</f>
        <v>43.44</v>
      </c>
      <c r="M113" s="48">
        <f>9.26*C113/100</f>
        <v>13.89</v>
      </c>
      <c r="N113" s="48">
        <f>3.51*C113/100</f>
        <v>5.2649999999999997</v>
      </c>
      <c r="O113" s="42">
        <f>0.1*C113/100</f>
        <v>0.15</v>
      </c>
      <c r="P113" s="56">
        <v>0</v>
      </c>
      <c r="Q113" s="56">
        <v>0</v>
      </c>
      <c r="R113" s="235">
        <v>220103</v>
      </c>
      <c r="S113" s="235">
        <v>220104</v>
      </c>
    </row>
    <row r="114" spans="1:19" s="4" customFormat="1" ht="18.75" customHeight="1" x14ac:dyDescent="0.3">
      <c r="A114" s="49"/>
      <c r="B114" s="218" t="s">
        <v>4</v>
      </c>
      <c r="C114" s="120"/>
      <c r="D114" s="172">
        <f t="shared" ref="D114:Q114" si="17">SUM(D109:D113)</f>
        <v>17.984000000000002</v>
      </c>
      <c r="E114" s="172">
        <f t="shared" si="17"/>
        <v>24.233000000000001</v>
      </c>
      <c r="F114" s="172">
        <f t="shared" si="17"/>
        <v>74.903999999999996</v>
      </c>
      <c r="G114" s="172">
        <f t="shared" si="17"/>
        <v>593.08999999999992</v>
      </c>
      <c r="H114" s="172">
        <f t="shared" si="17"/>
        <v>0.18740000000000001</v>
      </c>
      <c r="I114" s="172">
        <f t="shared" si="17"/>
        <v>16.2</v>
      </c>
      <c r="J114" s="172">
        <f t="shared" si="17"/>
        <v>1.4999999999999999E-2</v>
      </c>
      <c r="K114" s="172">
        <f t="shared" si="17"/>
        <v>0.64500000000000002</v>
      </c>
      <c r="L114" s="172">
        <f t="shared" si="17"/>
        <v>144.4</v>
      </c>
      <c r="M114" s="172">
        <f t="shared" si="17"/>
        <v>106.855</v>
      </c>
      <c r="N114" s="172">
        <f t="shared" si="17"/>
        <v>42.914999999999999</v>
      </c>
      <c r="O114" s="172">
        <f t="shared" si="17"/>
        <v>3.4689999999999999</v>
      </c>
      <c r="P114" s="192">
        <f t="shared" si="17"/>
        <v>0.2082</v>
      </c>
      <c r="Q114" s="192">
        <f t="shared" si="17"/>
        <v>11.915000000000001</v>
      </c>
      <c r="R114" s="122"/>
      <c r="S114" s="122"/>
    </row>
    <row r="115" spans="1:19" s="4" customFormat="1" ht="18.75" customHeight="1" x14ac:dyDescent="0.25">
      <c r="A115" s="126"/>
      <c r="B115" s="361" t="s">
        <v>5</v>
      </c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47"/>
    </row>
    <row r="116" spans="1:19" s="63" customFormat="1" ht="37.5" x14ac:dyDescent="0.2">
      <c r="A116" s="49">
        <v>1</v>
      </c>
      <c r="B116" s="47" t="s">
        <v>129</v>
      </c>
      <c r="C116" s="41">
        <v>60</v>
      </c>
      <c r="D116" s="42">
        <f>5.71*C116/100</f>
        <v>3.4260000000000002</v>
      </c>
      <c r="E116" s="42">
        <f>5.44*C116/100</f>
        <v>3.2640000000000002</v>
      </c>
      <c r="F116" s="42">
        <f>26.29*C116/100</f>
        <v>15.773999999999999</v>
      </c>
      <c r="G116" s="42">
        <f>176.91*C116/100</f>
        <v>106.146</v>
      </c>
      <c r="H116" s="42">
        <f>0.018*$C116/100</f>
        <v>1.0799999999999999E-2</v>
      </c>
      <c r="I116" s="42">
        <f>29.06*$C116/100</f>
        <v>17.436</v>
      </c>
      <c r="J116" s="42">
        <f>0.02*$C116/100</f>
        <v>1.2E-2</v>
      </c>
      <c r="K116" s="42">
        <f>0.04*$C116/100</f>
        <v>2.4E-2</v>
      </c>
      <c r="L116" s="48">
        <f>22.94*$C116/100</f>
        <v>13.764000000000001</v>
      </c>
      <c r="M116" s="48">
        <f>143.46*$C116/100</f>
        <v>86.076000000000008</v>
      </c>
      <c r="N116" s="48">
        <f>45.45*$C116/100</f>
        <v>27.27</v>
      </c>
      <c r="O116" s="42">
        <f>1.88*$C116/100</f>
        <v>1.1279999999999999</v>
      </c>
      <c r="P116" s="49">
        <f>0.12*C116/100</f>
        <v>7.1999999999999995E-2</v>
      </c>
      <c r="Q116" s="49">
        <v>4.32</v>
      </c>
      <c r="R116" s="67">
        <v>100508</v>
      </c>
      <c r="S116" s="67"/>
    </row>
    <row r="117" spans="1:19" s="63" customFormat="1" x14ac:dyDescent="0.2">
      <c r="A117" s="49">
        <v>2</v>
      </c>
      <c r="B117" s="47" t="s">
        <v>109</v>
      </c>
      <c r="C117" s="41">
        <v>250</v>
      </c>
      <c r="D117" s="42">
        <f>0.35*C117/100</f>
        <v>0.875</v>
      </c>
      <c r="E117" s="42">
        <f>2.6*C117/100</f>
        <v>6.5</v>
      </c>
      <c r="F117" s="42">
        <f>4.16*C117/100</f>
        <v>10.4</v>
      </c>
      <c r="G117" s="42">
        <f>41.4*C117/100</f>
        <v>103.5</v>
      </c>
      <c r="H117" s="42">
        <f>0.04*C117/100</f>
        <v>0.1</v>
      </c>
      <c r="I117" s="42">
        <f>4.25*C117/100</f>
        <v>10.625</v>
      </c>
      <c r="J117" s="42">
        <f>0.01*C117/100</f>
        <v>2.5000000000000001E-2</v>
      </c>
      <c r="K117" s="42">
        <f>0.11*C117/100</f>
        <v>0.27500000000000002</v>
      </c>
      <c r="L117" s="48">
        <f>20.81*C117/100</f>
        <v>52.024999999999999</v>
      </c>
      <c r="M117" s="48">
        <f>58.13*C117/100</f>
        <v>145.32499999999999</v>
      </c>
      <c r="N117" s="48">
        <f>14.24*C117/100</f>
        <v>35.6</v>
      </c>
      <c r="O117" s="42">
        <f>2.07*C117/100</f>
        <v>5.1749999999999998</v>
      </c>
      <c r="P117" s="49">
        <f>0.07*C117/100</f>
        <v>0.17499999999999999</v>
      </c>
      <c r="Q117" s="49">
        <v>3.63</v>
      </c>
      <c r="R117" s="233">
        <v>110101</v>
      </c>
      <c r="S117" s="233">
        <v>110102</v>
      </c>
    </row>
    <row r="118" spans="1:19" s="63" customFormat="1" x14ac:dyDescent="0.2">
      <c r="A118" s="49">
        <v>3</v>
      </c>
      <c r="B118" s="47" t="s">
        <v>119</v>
      </c>
      <c r="C118" s="41">
        <v>100</v>
      </c>
      <c r="D118" s="42">
        <f>12.2*C118/100</f>
        <v>12.2</v>
      </c>
      <c r="E118" s="42">
        <f>3.1*C118/100</f>
        <v>3.1</v>
      </c>
      <c r="F118" s="42">
        <f>14.5*C118/100</f>
        <v>14.5</v>
      </c>
      <c r="G118" s="42">
        <f>134.7*C118/100</f>
        <v>134.69999999999999</v>
      </c>
      <c r="H118" s="42">
        <v>0.06</v>
      </c>
      <c r="I118" s="42">
        <v>1.49</v>
      </c>
      <c r="J118" s="42">
        <v>1.19</v>
      </c>
      <c r="K118" s="42">
        <v>0.56000000000000005</v>
      </c>
      <c r="L118" s="48">
        <v>29.41</v>
      </c>
      <c r="M118" s="48">
        <v>139.99</v>
      </c>
      <c r="N118" s="48">
        <v>19.940000000000001</v>
      </c>
      <c r="O118" s="42">
        <v>0.71</v>
      </c>
      <c r="P118" s="49">
        <v>0.08</v>
      </c>
      <c r="Q118" s="49">
        <v>28.97</v>
      </c>
      <c r="R118" s="67">
        <v>120401</v>
      </c>
      <c r="S118" s="183">
        <v>120402</v>
      </c>
    </row>
    <row r="119" spans="1:19" s="63" customFormat="1" x14ac:dyDescent="0.2">
      <c r="A119" s="49">
        <v>4</v>
      </c>
      <c r="B119" s="47" t="s">
        <v>118</v>
      </c>
      <c r="C119" s="41">
        <v>30</v>
      </c>
      <c r="D119" s="42">
        <f>0.6*C119/100</f>
        <v>0.18</v>
      </c>
      <c r="E119" s="42">
        <f>4.4*C119/100</f>
        <v>1.32</v>
      </c>
      <c r="F119" s="42">
        <f>6.6*C119/100</f>
        <v>1.98</v>
      </c>
      <c r="G119" s="42">
        <f>68.4*C119/100</f>
        <v>20.52</v>
      </c>
      <c r="H119" s="42">
        <f>0.3*C119/100</f>
        <v>0.09</v>
      </c>
      <c r="I119" s="42">
        <f>15*C119/100</f>
        <v>4.5</v>
      </c>
      <c r="J119" s="42">
        <f>0.35*C119/100</f>
        <v>0.105</v>
      </c>
      <c r="K119" s="42">
        <f>0*C119/100</f>
        <v>0</v>
      </c>
      <c r="L119" s="48">
        <v>0</v>
      </c>
      <c r="M119" s="48">
        <v>0</v>
      </c>
      <c r="N119" s="48">
        <v>0</v>
      </c>
      <c r="O119" s="42">
        <v>0</v>
      </c>
      <c r="P119" s="49">
        <f>0.3*C119/100</f>
        <v>0.09</v>
      </c>
      <c r="Q119" s="49">
        <f>1.3*C119/100</f>
        <v>0.39</v>
      </c>
      <c r="R119" s="67">
        <v>140101</v>
      </c>
      <c r="S119" s="183">
        <v>140102</v>
      </c>
    </row>
    <row r="120" spans="1:19" s="63" customFormat="1" x14ac:dyDescent="0.2">
      <c r="A120" s="49">
        <v>5</v>
      </c>
      <c r="B120" s="47" t="s">
        <v>8</v>
      </c>
      <c r="C120" s="41">
        <v>150</v>
      </c>
      <c r="D120" s="42">
        <f>2.225*C120/100</f>
        <v>3.3374999999999999</v>
      </c>
      <c r="E120" s="42">
        <f>7.525*C120/100</f>
        <v>11.2875</v>
      </c>
      <c r="F120" s="42">
        <f>25.84*C120/100</f>
        <v>38.76</v>
      </c>
      <c r="G120" s="42">
        <f>180*C120/100</f>
        <v>270</v>
      </c>
      <c r="H120" s="42">
        <f>0.02*C120/100</f>
        <v>0.03</v>
      </c>
      <c r="I120" s="42">
        <f>0*C120/100</f>
        <v>0</v>
      </c>
      <c r="J120" s="42">
        <f>0.04*C120/100</f>
        <v>0.06</v>
      </c>
      <c r="K120" s="42">
        <f>0.1*C120/100</f>
        <v>0.15</v>
      </c>
      <c r="L120" s="48">
        <f>1.38*C120/100</f>
        <v>2.0699999999999998</v>
      </c>
      <c r="M120" s="48">
        <f>40.5*C120/100</f>
        <v>60.75</v>
      </c>
      <c r="N120" s="48">
        <f>12.43*C120/100</f>
        <v>18.645</v>
      </c>
      <c r="O120" s="42">
        <f>0.35*C120/100</f>
        <v>0.52500000000000002</v>
      </c>
      <c r="P120" s="49">
        <f>0.015*C120/100</f>
        <v>2.2499999999999999E-2</v>
      </c>
      <c r="Q120" s="49">
        <v>0</v>
      </c>
      <c r="R120" s="67">
        <v>130301</v>
      </c>
      <c r="S120" s="67">
        <v>130302</v>
      </c>
    </row>
    <row r="121" spans="1:19" s="37" customFormat="1" x14ac:dyDescent="0.2">
      <c r="A121" s="49">
        <v>6</v>
      </c>
      <c r="B121" s="47" t="s">
        <v>131</v>
      </c>
      <c r="C121" s="41">
        <v>200</v>
      </c>
      <c r="D121" s="42">
        <f>0.62*C121/100</f>
        <v>1.24</v>
      </c>
      <c r="E121" s="42">
        <f>0.04*C121/100</f>
        <v>0.08</v>
      </c>
      <c r="F121" s="42">
        <f>12.06*C121/100</f>
        <v>24.12</v>
      </c>
      <c r="G121" s="42">
        <f>41.81*C121/100</f>
        <v>83.62</v>
      </c>
      <c r="H121" s="42">
        <f>0.01*C121/100</f>
        <v>0.02</v>
      </c>
      <c r="I121" s="42">
        <f>0.48*C121/100</f>
        <v>0.96</v>
      </c>
      <c r="J121" s="42">
        <f>0*C121/100</f>
        <v>0</v>
      </c>
      <c r="K121" s="42">
        <v>0</v>
      </c>
      <c r="L121" s="48">
        <f>23.8*C121/100</f>
        <v>47.6</v>
      </c>
      <c r="M121" s="48">
        <f>17.52*C121/100</f>
        <v>35.04</v>
      </c>
      <c r="N121" s="48">
        <f>13.6*C121/100</f>
        <v>27.2</v>
      </c>
      <c r="O121" s="42">
        <f>0.39*C121/100</f>
        <v>0.78</v>
      </c>
      <c r="P121" s="62">
        <f>0.02*C121/100</f>
        <v>0.04</v>
      </c>
      <c r="Q121" s="62">
        <v>2.3199999999999998</v>
      </c>
      <c r="R121" s="67">
        <v>160210</v>
      </c>
      <c r="S121" s="67"/>
    </row>
    <row r="122" spans="1:19" s="63" customFormat="1" x14ac:dyDescent="0.2">
      <c r="A122" s="49">
        <v>7</v>
      </c>
      <c r="B122" s="47" t="s">
        <v>160</v>
      </c>
      <c r="C122" s="41">
        <v>40</v>
      </c>
      <c r="D122" s="42">
        <f>7.76*C122/100</f>
        <v>3.1039999999999996</v>
      </c>
      <c r="E122" s="42">
        <f>2.65*C122/100</f>
        <v>1.06</v>
      </c>
      <c r="F122" s="42">
        <f>53.25*C122/100</f>
        <v>21.3</v>
      </c>
      <c r="G122" s="42">
        <f>273*C122/100</f>
        <v>109.2</v>
      </c>
      <c r="H122" s="42">
        <f>0.34*C122/100</f>
        <v>0.13600000000000001</v>
      </c>
      <c r="I122" s="42">
        <f>0*C122/100</f>
        <v>0</v>
      </c>
      <c r="J122" s="42">
        <v>0</v>
      </c>
      <c r="K122" s="42">
        <f>1.5*C122/100</f>
        <v>0.6</v>
      </c>
      <c r="L122" s="48">
        <f>148.1*C122/100</f>
        <v>59.24</v>
      </c>
      <c r="M122" s="48">
        <f>0*C122/100</f>
        <v>0</v>
      </c>
      <c r="N122" s="48">
        <f>16*C122/100</f>
        <v>6.4</v>
      </c>
      <c r="O122" s="42">
        <f>2.4*C122/100</f>
        <v>0.96</v>
      </c>
      <c r="P122" s="56">
        <f>0.2*C122/100</f>
        <v>0.08</v>
      </c>
      <c r="Q122" s="56">
        <f>1.5*C122/100</f>
        <v>0.6</v>
      </c>
      <c r="R122" s="67">
        <v>200102</v>
      </c>
      <c r="S122" s="67"/>
    </row>
    <row r="123" spans="1:19" s="63" customFormat="1" x14ac:dyDescent="0.2">
      <c r="A123" s="49">
        <v>8</v>
      </c>
      <c r="B123" s="47" t="s">
        <v>159</v>
      </c>
      <c r="C123" s="41">
        <v>20</v>
      </c>
      <c r="D123" s="42">
        <f>5.86*C123/100</f>
        <v>1.1719999999999999</v>
      </c>
      <c r="E123" s="42">
        <f>0.94*C123/100</f>
        <v>0.18799999999999997</v>
      </c>
      <c r="F123" s="42">
        <f>44.4*C123/100</f>
        <v>8.8800000000000008</v>
      </c>
      <c r="G123" s="42">
        <f>189*C123/100</f>
        <v>37.799999999999997</v>
      </c>
      <c r="H123" s="42">
        <f>0.4*C123/100</f>
        <v>0.08</v>
      </c>
      <c r="I123" s="42">
        <f>0.03*C123/100</f>
        <v>6.0000000000000001E-3</v>
      </c>
      <c r="J123" s="42">
        <v>0</v>
      </c>
      <c r="K123" s="42">
        <f>1.7*C123/100</f>
        <v>0.34</v>
      </c>
      <c r="L123" s="48">
        <f>25.4*C123/100</f>
        <v>5.08</v>
      </c>
      <c r="M123" s="48">
        <f>105.53*C123/100</f>
        <v>21.105999999999998</v>
      </c>
      <c r="N123" s="48">
        <f>36.5*C123/100</f>
        <v>7.3</v>
      </c>
      <c r="O123" s="42">
        <f>2.45*C123/100</f>
        <v>0.49</v>
      </c>
      <c r="P123" s="56">
        <f>0.2*C123/100</f>
        <v>0.04</v>
      </c>
      <c r="Q123" s="56">
        <f>10*C123/100</f>
        <v>2</v>
      </c>
      <c r="R123" s="67">
        <v>200103</v>
      </c>
      <c r="S123" s="67"/>
    </row>
    <row r="124" spans="1:19" s="4" customFormat="1" ht="18.75" customHeight="1" x14ac:dyDescent="0.3">
      <c r="A124" s="49"/>
      <c r="B124" s="218" t="s">
        <v>4</v>
      </c>
      <c r="C124" s="120"/>
      <c r="D124" s="170">
        <f t="shared" ref="D124:Q124" si="18">SUM(D116:D123)</f>
        <v>25.534499999999994</v>
      </c>
      <c r="E124" s="170">
        <f t="shared" si="18"/>
        <v>26.799499999999995</v>
      </c>
      <c r="F124" s="170">
        <f t="shared" si="18"/>
        <v>135.714</v>
      </c>
      <c r="G124" s="170">
        <f t="shared" si="18"/>
        <v>865.48599999999999</v>
      </c>
      <c r="H124" s="170">
        <f t="shared" si="18"/>
        <v>0.52680000000000005</v>
      </c>
      <c r="I124" s="170">
        <f t="shared" si="18"/>
        <v>35.017000000000003</v>
      </c>
      <c r="J124" s="170">
        <f t="shared" si="18"/>
        <v>1.3919999999999999</v>
      </c>
      <c r="K124" s="170">
        <f t="shared" si="18"/>
        <v>1.9490000000000001</v>
      </c>
      <c r="L124" s="170">
        <f t="shared" si="18"/>
        <v>209.18900000000002</v>
      </c>
      <c r="M124" s="170">
        <f t="shared" si="18"/>
        <v>488.28700000000003</v>
      </c>
      <c r="N124" s="170">
        <f t="shared" si="18"/>
        <v>142.35500000000002</v>
      </c>
      <c r="O124" s="170">
        <f t="shared" si="18"/>
        <v>9.7679999999999989</v>
      </c>
      <c r="P124" s="55">
        <f t="shared" si="18"/>
        <v>0.59950000000000003</v>
      </c>
      <c r="Q124" s="55">
        <f t="shared" si="18"/>
        <v>42.230000000000004</v>
      </c>
      <c r="R124" s="122"/>
      <c r="S124" s="122"/>
    </row>
    <row r="125" spans="1:19" s="4" customFormat="1" x14ac:dyDescent="0.25">
      <c r="A125" s="117"/>
      <c r="B125" s="301" t="s">
        <v>35</v>
      </c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47"/>
    </row>
    <row r="126" spans="1:19" s="63" customFormat="1" x14ac:dyDescent="0.2">
      <c r="A126" s="49">
        <v>1</v>
      </c>
      <c r="B126" s="47" t="s">
        <v>163</v>
      </c>
      <c r="C126" s="41">
        <v>200</v>
      </c>
      <c r="D126" s="60">
        <f>3.05*C126/100</f>
        <v>6.1</v>
      </c>
      <c r="E126" s="60">
        <f>3.11*C126/100</f>
        <v>6.22</v>
      </c>
      <c r="F126" s="60">
        <f>9.83*C126/100</f>
        <v>19.66</v>
      </c>
      <c r="G126" s="60">
        <f>79.2*C126/100</f>
        <v>158.4</v>
      </c>
      <c r="H126" s="42">
        <f>0.26*C126/100</f>
        <v>0.52</v>
      </c>
      <c r="I126" s="42">
        <f>14.61*C126/100</f>
        <v>29.22</v>
      </c>
      <c r="J126" s="42">
        <f>0.4*C126/100</f>
        <v>0.8</v>
      </c>
      <c r="K126" s="42">
        <v>0</v>
      </c>
      <c r="L126" s="48">
        <f>24.96*C126/100</f>
        <v>49.92</v>
      </c>
      <c r="M126" s="48">
        <v>0</v>
      </c>
      <c r="N126" s="48">
        <f>0.1*C126/100</f>
        <v>0.2</v>
      </c>
      <c r="O126" s="42">
        <v>0</v>
      </c>
      <c r="P126" s="49">
        <v>0.14000000000000001</v>
      </c>
      <c r="Q126" s="49">
        <v>7.68</v>
      </c>
      <c r="R126" s="67">
        <v>160101</v>
      </c>
      <c r="S126" s="67">
        <v>160102</v>
      </c>
    </row>
    <row r="127" spans="1:19" s="63" customFormat="1" ht="31.5" x14ac:dyDescent="0.2">
      <c r="A127" s="49">
        <v>2</v>
      </c>
      <c r="B127" s="47" t="s">
        <v>32</v>
      </c>
      <c r="C127" s="41">
        <v>50</v>
      </c>
      <c r="D127" s="60">
        <f>13*C127/100</f>
        <v>6.5</v>
      </c>
      <c r="E127" s="60">
        <f>7.4*C127/100</f>
        <v>3.7</v>
      </c>
      <c r="F127" s="60">
        <f>45.8*C127/100</f>
        <v>22.9</v>
      </c>
      <c r="G127" s="60">
        <f>301.8*C127/100</f>
        <v>150.9</v>
      </c>
      <c r="H127" s="42">
        <f>C127*0.15/100</f>
        <v>7.4999999999999997E-2</v>
      </c>
      <c r="I127" s="42">
        <f>C127*2.46/100</f>
        <v>1.23</v>
      </c>
      <c r="J127" s="42">
        <f>C127*0.04/100</f>
        <v>0.02</v>
      </c>
      <c r="K127" s="42">
        <f>C127*2.76/100</f>
        <v>1.38</v>
      </c>
      <c r="L127" s="48">
        <f>C127*89.34/100</f>
        <v>44.67</v>
      </c>
      <c r="M127" s="48">
        <f>C127*134.93/100</f>
        <v>67.465000000000003</v>
      </c>
      <c r="N127" s="48">
        <f>C127*19.22/100</f>
        <v>9.61</v>
      </c>
      <c r="O127" s="42">
        <f>C127*0.83/100</f>
        <v>0.41499999999999998</v>
      </c>
      <c r="P127" s="49">
        <f>0.15*C127/100</f>
        <v>7.4999999999999997E-2</v>
      </c>
      <c r="Q127" s="49">
        <v>0.43</v>
      </c>
      <c r="R127" s="183" t="s">
        <v>254</v>
      </c>
      <c r="S127" s="67">
        <v>190306</v>
      </c>
    </row>
    <row r="128" spans="1:19" s="4" customFormat="1" ht="20.25" customHeight="1" x14ac:dyDescent="0.3">
      <c r="A128" s="49"/>
      <c r="B128" s="218" t="s">
        <v>4</v>
      </c>
      <c r="C128" s="120"/>
      <c r="D128" s="172">
        <f t="shared" ref="D128:Q128" si="19">SUM(D126:D127)</f>
        <v>12.6</v>
      </c>
      <c r="E128" s="172">
        <f t="shared" si="19"/>
        <v>9.92</v>
      </c>
      <c r="F128" s="172">
        <f t="shared" si="19"/>
        <v>42.56</v>
      </c>
      <c r="G128" s="172">
        <f t="shared" si="19"/>
        <v>309.3</v>
      </c>
      <c r="H128" s="172">
        <f t="shared" si="19"/>
        <v>0.59499999999999997</v>
      </c>
      <c r="I128" s="172">
        <f t="shared" si="19"/>
        <v>30.45</v>
      </c>
      <c r="J128" s="172">
        <f t="shared" si="19"/>
        <v>0.82000000000000006</v>
      </c>
      <c r="K128" s="172">
        <f t="shared" si="19"/>
        <v>1.38</v>
      </c>
      <c r="L128" s="172">
        <f t="shared" si="19"/>
        <v>94.59</v>
      </c>
      <c r="M128" s="172">
        <f t="shared" si="19"/>
        <v>67.465000000000003</v>
      </c>
      <c r="N128" s="172">
        <f t="shared" si="19"/>
        <v>9.8099999999999987</v>
      </c>
      <c r="O128" s="172">
        <f t="shared" si="19"/>
        <v>0.41499999999999998</v>
      </c>
      <c r="P128" s="192">
        <f t="shared" si="19"/>
        <v>0.21500000000000002</v>
      </c>
      <c r="Q128" s="192">
        <f t="shared" si="19"/>
        <v>8.11</v>
      </c>
      <c r="R128" s="122"/>
      <c r="S128" s="122"/>
    </row>
    <row r="129" spans="1:19" s="4" customFormat="1" ht="19.5" customHeight="1" x14ac:dyDescent="0.25">
      <c r="A129" s="49"/>
      <c r="B129" s="218" t="s">
        <v>7</v>
      </c>
      <c r="C129" s="120"/>
      <c r="D129" s="170">
        <f t="shared" ref="D129:Q129" si="20">D114+D124+D128</f>
        <v>56.118499999999997</v>
      </c>
      <c r="E129" s="170">
        <f t="shared" si="20"/>
        <v>60.952500000000001</v>
      </c>
      <c r="F129" s="170">
        <f t="shared" si="20"/>
        <v>253.178</v>
      </c>
      <c r="G129" s="170">
        <f t="shared" si="20"/>
        <v>1767.876</v>
      </c>
      <c r="H129" s="170">
        <f t="shared" si="20"/>
        <v>1.3092000000000001</v>
      </c>
      <c r="I129" s="170">
        <f t="shared" si="20"/>
        <v>81.667000000000002</v>
      </c>
      <c r="J129" s="170">
        <f t="shared" si="20"/>
        <v>2.2269999999999999</v>
      </c>
      <c r="K129" s="170">
        <f t="shared" si="20"/>
        <v>3.9740000000000002</v>
      </c>
      <c r="L129" s="170">
        <f t="shared" si="20"/>
        <v>448.17900000000009</v>
      </c>
      <c r="M129" s="170">
        <f t="shared" si="20"/>
        <v>662.60700000000008</v>
      </c>
      <c r="N129" s="170">
        <f t="shared" si="20"/>
        <v>195.08</v>
      </c>
      <c r="O129" s="170">
        <f t="shared" si="20"/>
        <v>13.651999999999997</v>
      </c>
      <c r="P129" s="170">
        <f t="shared" si="20"/>
        <v>1.0227000000000002</v>
      </c>
      <c r="Q129" s="170">
        <f t="shared" si="20"/>
        <v>62.255000000000003</v>
      </c>
      <c r="R129" s="122"/>
      <c r="S129" s="122"/>
    </row>
    <row r="130" spans="1:19" s="4" customFormat="1" ht="19.5" customHeight="1" thickBot="1" x14ac:dyDescent="0.3">
      <c r="A130" s="344" t="s">
        <v>46</v>
      </c>
      <c r="B130" s="345"/>
      <c r="C130" s="345"/>
      <c r="D130" s="345"/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8"/>
    </row>
    <row r="131" spans="1:19" s="4" customFormat="1" x14ac:dyDescent="0.25">
      <c r="A131" s="127"/>
      <c r="B131" s="305" t="s">
        <v>3</v>
      </c>
      <c r="C131" s="305"/>
      <c r="D131" s="305"/>
      <c r="E131" s="305"/>
      <c r="F131" s="305"/>
      <c r="G131" s="305"/>
      <c r="H131" s="305"/>
      <c r="I131" s="305"/>
      <c r="J131" s="305"/>
      <c r="K131" s="305"/>
      <c r="L131" s="305"/>
      <c r="M131" s="305"/>
      <c r="N131" s="305"/>
      <c r="O131" s="305"/>
      <c r="P131" s="305"/>
      <c r="Q131" s="305"/>
      <c r="R131" s="305"/>
      <c r="S131" s="346"/>
    </row>
    <row r="132" spans="1:19" s="64" customFormat="1" ht="19.5" customHeight="1" x14ac:dyDescent="0.3">
      <c r="A132" s="49">
        <v>1</v>
      </c>
      <c r="B132" s="47" t="s">
        <v>225</v>
      </c>
      <c r="C132" s="41">
        <v>150</v>
      </c>
      <c r="D132" s="116">
        <f>15.4*C132/100</f>
        <v>23.1</v>
      </c>
      <c r="E132" s="116">
        <f>4.1*C132/100</f>
        <v>6.15</v>
      </c>
      <c r="F132" s="116">
        <f>16.2*C132/100</f>
        <v>24.3</v>
      </c>
      <c r="G132" s="116">
        <f>142.8*C132/100</f>
        <v>214.2</v>
      </c>
      <c r="H132" s="42">
        <f>C132*0.05/100</f>
        <v>7.4999999999999997E-2</v>
      </c>
      <c r="I132" s="42">
        <f>0.21*C132/100</f>
        <v>0.315</v>
      </c>
      <c r="J132" s="42">
        <f>C132*0.05/100</f>
        <v>7.4999999999999997E-2</v>
      </c>
      <c r="K132" s="42">
        <f>C132*0.35/100</f>
        <v>0.52500000000000002</v>
      </c>
      <c r="L132" s="42">
        <f>C132*129.32/100</f>
        <v>193.98</v>
      </c>
      <c r="M132" s="42">
        <f>C132*183.98/100</f>
        <v>275.97000000000003</v>
      </c>
      <c r="N132" s="42">
        <f>C132*21.41/100</f>
        <v>32.115000000000002</v>
      </c>
      <c r="O132" s="42">
        <f>C132*0.62/100</f>
        <v>0.93</v>
      </c>
      <c r="P132" s="128">
        <f>0.22*C132/100</f>
        <v>0.33</v>
      </c>
      <c r="Q132" s="128">
        <f>1.8*C132/100</f>
        <v>2.7</v>
      </c>
      <c r="R132" s="131">
        <v>120307</v>
      </c>
      <c r="S132" s="122">
        <v>120308</v>
      </c>
    </row>
    <row r="133" spans="1:19" s="64" customFormat="1" ht="19.5" customHeight="1" x14ac:dyDescent="0.3">
      <c r="A133" s="49">
        <v>2</v>
      </c>
      <c r="B133" s="47" t="s">
        <v>141</v>
      </c>
      <c r="C133" s="41">
        <v>30</v>
      </c>
      <c r="D133" s="116">
        <f>7.5*C133/100</f>
        <v>2.25</v>
      </c>
      <c r="E133" s="116">
        <f>5*C133/100</f>
        <v>1.5</v>
      </c>
      <c r="F133" s="116">
        <f>55.2*C133/100</f>
        <v>16.559999999999999</v>
      </c>
      <c r="G133" s="116">
        <f>295*C133/100</f>
        <v>88.5</v>
      </c>
      <c r="H133" s="42">
        <f>0.06*C133/100</f>
        <v>1.7999999999999999E-2</v>
      </c>
      <c r="I133" s="42">
        <f>1*C133/100</f>
        <v>0.3</v>
      </c>
      <c r="J133" s="42">
        <f>0.04*C133/100</f>
        <v>1.2E-2</v>
      </c>
      <c r="K133" s="42">
        <f>0.2*C133/100</f>
        <v>0.06</v>
      </c>
      <c r="L133" s="42">
        <f>307*C133/100</f>
        <v>92.1</v>
      </c>
      <c r="M133" s="42">
        <f>219*C133/100</f>
        <v>65.7</v>
      </c>
      <c r="N133" s="42">
        <f>34*C133/100</f>
        <v>10.199999999999999</v>
      </c>
      <c r="O133" s="42">
        <f>0.2*C133/100</f>
        <v>0.06</v>
      </c>
      <c r="P133" s="128">
        <f>0.38*C133/100</f>
        <v>0.114</v>
      </c>
      <c r="Q133" s="128">
        <f>9*C133/100</f>
        <v>2.7</v>
      </c>
      <c r="R133" s="131">
        <v>140201</v>
      </c>
      <c r="S133" s="122"/>
    </row>
    <row r="134" spans="1:19" s="63" customFormat="1" x14ac:dyDescent="0.2">
      <c r="A134" s="49">
        <v>3</v>
      </c>
      <c r="B134" s="47" t="s">
        <v>160</v>
      </c>
      <c r="C134" s="41">
        <v>20</v>
      </c>
      <c r="D134" s="42">
        <f>7.76*C134/100</f>
        <v>1.5519999999999998</v>
      </c>
      <c r="E134" s="42">
        <f>2.65*C134/100</f>
        <v>0.53</v>
      </c>
      <c r="F134" s="42">
        <f>53.25*C134/100</f>
        <v>10.65</v>
      </c>
      <c r="G134" s="42">
        <f>273*C134/100</f>
        <v>54.6</v>
      </c>
      <c r="H134" s="42">
        <f>0.34*C134/100</f>
        <v>6.8000000000000005E-2</v>
      </c>
      <c r="I134" s="42">
        <f>0*C134/100</f>
        <v>0</v>
      </c>
      <c r="J134" s="42">
        <v>0</v>
      </c>
      <c r="K134" s="42">
        <f>1.5*C134/100</f>
        <v>0.3</v>
      </c>
      <c r="L134" s="48">
        <f>148.1*C134/100</f>
        <v>29.62</v>
      </c>
      <c r="M134" s="48">
        <f>0*C134/100</f>
        <v>0</v>
      </c>
      <c r="N134" s="48">
        <f>16*C134/100</f>
        <v>3.2</v>
      </c>
      <c r="O134" s="42">
        <f>2.4*C134/100</f>
        <v>0.48</v>
      </c>
      <c r="P134" s="56">
        <f>0.2*C134/100</f>
        <v>0.04</v>
      </c>
      <c r="Q134" s="56">
        <f>1.5*C134/100</f>
        <v>0.3</v>
      </c>
      <c r="R134" s="67">
        <v>200102</v>
      </c>
      <c r="S134" s="67"/>
    </row>
    <row r="135" spans="1:19" s="63" customFormat="1" ht="37.5" x14ac:dyDescent="0.2">
      <c r="A135" s="49">
        <v>4</v>
      </c>
      <c r="B135" s="47" t="s">
        <v>164</v>
      </c>
      <c r="C135" s="41">
        <v>10</v>
      </c>
      <c r="D135" s="42">
        <f>0.5*C135/100</f>
        <v>0.05</v>
      </c>
      <c r="E135" s="42">
        <f>82.5*C135/100</f>
        <v>8.25</v>
      </c>
      <c r="F135" s="42">
        <f>0.8*C135/100</f>
        <v>0.08</v>
      </c>
      <c r="G135" s="42">
        <f>748*C135/100</f>
        <v>74.8</v>
      </c>
      <c r="H135" s="42">
        <v>0</v>
      </c>
      <c r="I135" s="42">
        <v>0</v>
      </c>
      <c r="J135" s="42">
        <f>0.4*C135/100</f>
        <v>0.04</v>
      </c>
      <c r="K135" s="42">
        <f>1*C135/100</f>
        <v>0.1</v>
      </c>
      <c r="L135" s="48">
        <f>12*C135/100</f>
        <v>1.2</v>
      </c>
      <c r="M135" s="48">
        <f>19*C135/100</f>
        <v>1.9</v>
      </c>
      <c r="N135" s="48">
        <f>0*C135/100</f>
        <v>0</v>
      </c>
      <c r="O135" s="42">
        <f>0.2*C135/100</f>
        <v>0.02</v>
      </c>
      <c r="P135" s="56">
        <f>0.1*C135/100</f>
        <v>0.01</v>
      </c>
      <c r="Q135" s="49">
        <v>0</v>
      </c>
      <c r="R135" s="67"/>
      <c r="S135" s="67"/>
    </row>
    <row r="136" spans="1:19" s="63" customFormat="1" x14ac:dyDescent="0.2">
      <c r="A136" s="49">
        <v>5</v>
      </c>
      <c r="B136" s="47" t="s">
        <v>31</v>
      </c>
      <c r="C136" s="59">
        <v>200</v>
      </c>
      <c r="D136" s="60">
        <v>0</v>
      </c>
      <c r="E136" s="60">
        <v>0</v>
      </c>
      <c r="F136" s="60">
        <f>4.99*C136/100</f>
        <v>9.98</v>
      </c>
      <c r="G136" s="42">
        <f>19.95*C136/100</f>
        <v>39.9</v>
      </c>
      <c r="H136" s="42">
        <v>0</v>
      </c>
      <c r="I136" s="42">
        <v>0</v>
      </c>
      <c r="J136" s="42">
        <v>0</v>
      </c>
      <c r="K136" s="42">
        <v>0</v>
      </c>
      <c r="L136" s="48">
        <f>8.15*C136/100</f>
        <v>16.3</v>
      </c>
      <c r="M136" s="48">
        <f>0.02*C136/100</f>
        <v>0.04</v>
      </c>
      <c r="N136" s="48">
        <f>1.79*C136/100</f>
        <v>3.58</v>
      </c>
      <c r="O136" s="42">
        <f>0.02*C136/100</f>
        <v>0.04</v>
      </c>
      <c r="P136" s="49">
        <f>0.01*C136/100</f>
        <v>0.02</v>
      </c>
      <c r="Q136" s="49">
        <v>0.48</v>
      </c>
      <c r="R136" s="67">
        <v>160105</v>
      </c>
      <c r="S136" s="67"/>
    </row>
    <row r="137" spans="1:19" s="46" customFormat="1" ht="18.75" customHeight="1" x14ac:dyDescent="0.3">
      <c r="A137" s="49">
        <v>6</v>
      </c>
      <c r="B137" s="47" t="s">
        <v>232</v>
      </c>
      <c r="C137" s="41" t="s">
        <v>274</v>
      </c>
      <c r="D137" s="42">
        <v>0.8</v>
      </c>
      <c r="E137" s="42">
        <v>0.4</v>
      </c>
      <c r="F137" s="42">
        <v>8.1</v>
      </c>
      <c r="G137" s="42">
        <v>47</v>
      </c>
      <c r="H137" s="42">
        <v>0.02</v>
      </c>
      <c r="I137" s="42">
        <v>180</v>
      </c>
      <c r="J137" s="42">
        <v>0</v>
      </c>
      <c r="K137" s="42">
        <v>0.3</v>
      </c>
      <c r="L137" s="42">
        <v>40</v>
      </c>
      <c r="M137" s="42">
        <v>34</v>
      </c>
      <c r="N137" s="42">
        <v>25</v>
      </c>
      <c r="O137" s="42">
        <v>1E-3</v>
      </c>
      <c r="P137" s="55">
        <v>0.02</v>
      </c>
      <c r="Q137" s="55">
        <f>2*100/100</f>
        <v>2</v>
      </c>
      <c r="R137" s="122">
        <v>210105</v>
      </c>
      <c r="S137" s="122"/>
    </row>
    <row r="138" spans="1:19" s="4" customFormat="1" ht="18.75" customHeight="1" x14ac:dyDescent="0.25">
      <c r="A138" s="49"/>
      <c r="B138" s="218" t="s">
        <v>4</v>
      </c>
      <c r="C138" s="120"/>
      <c r="D138" s="172">
        <f t="shared" ref="D138:Q138" si="21">SUM(D132:D137)</f>
        <v>27.752000000000002</v>
      </c>
      <c r="E138" s="172">
        <f t="shared" si="21"/>
        <v>16.829999999999998</v>
      </c>
      <c r="F138" s="172">
        <f t="shared" si="21"/>
        <v>69.669999999999987</v>
      </c>
      <c r="G138" s="172">
        <f t="shared" si="21"/>
        <v>519</v>
      </c>
      <c r="H138" s="172">
        <f t="shared" si="21"/>
        <v>0.18099999999999999</v>
      </c>
      <c r="I138" s="172">
        <f t="shared" si="21"/>
        <v>180.61500000000001</v>
      </c>
      <c r="J138" s="172">
        <f t="shared" si="21"/>
        <v>0.127</v>
      </c>
      <c r="K138" s="172">
        <f t="shared" si="21"/>
        <v>1.2849999999999999</v>
      </c>
      <c r="L138" s="172">
        <f t="shared" si="21"/>
        <v>373.2</v>
      </c>
      <c r="M138" s="172">
        <f t="shared" si="21"/>
        <v>377.61</v>
      </c>
      <c r="N138" s="172">
        <f t="shared" si="21"/>
        <v>74.094999999999999</v>
      </c>
      <c r="O138" s="172">
        <f t="shared" si="21"/>
        <v>1.5309999999999999</v>
      </c>
      <c r="P138" s="172">
        <f t="shared" si="21"/>
        <v>0.53400000000000003</v>
      </c>
      <c r="Q138" s="172">
        <f t="shared" si="21"/>
        <v>8.18</v>
      </c>
      <c r="R138" s="122"/>
      <c r="S138" s="122"/>
    </row>
    <row r="139" spans="1:19" s="4" customFormat="1" x14ac:dyDescent="0.25">
      <c r="A139" s="117"/>
      <c r="B139" s="301" t="s">
        <v>5</v>
      </c>
      <c r="C139" s="301"/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47"/>
    </row>
    <row r="140" spans="1:19" s="63" customFormat="1" ht="37.5" x14ac:dyDescent="0.2">
      <c r="A140" s="49">
        <v>1</v>
      </c>
      <c r="B140" s="47" t="s">
        <v>150</v>
      </c>
      <c r="C140" s="41">
        <v>60</v>
      </c>
      <c r="D140" s="42">
        <f>1.9*C140/100</f>
        <v>1.1399999999999999</v>
      </c>
      <c r="E140" s="42">
        <f>8.9*C140/100</f>
        <v>5.34</v>
      </c>
      <c r="F140" s="42">
        <f>7.7*C140/100</f>
        <v>4.62</v>
      </c>
      <c r="G140" s="42">
        <f>119*C140/100</f>
        <v>71.400000000000006</v>
      </c>
      <c r="H140" s="42">
        <f>0.02*$C140/100</f>
        <v>1.2E-2</v>
      </c>
      <c r="I140" s="42">
        <f>7*$C140/100</f>
        <v>4.2</v>
      </c>
      <c r="J140" s="42">
        <f>0*$C140/100</f>
        <v>0</v>
      </c>
      <c r="K140" s="42">
        <f>0*$C140/100</f>
        <v>0</v>
      </c>
      <c r="L140" s="48">
        <f>41*$C140/100</f>
        <v>24.6</v>
      </c>
      <c r="M140" s="48">
        <f>37*$C140/100</f>
        <v>22.2</v>
      </c>
      <c r="N140" s="48">
        <f>15*$C140/100</f>
        <v>9</v>
      </c>
      <c r="O140" s="42">
        <f>0.7*$C140/100</f>
        <v>0.42</v>
      </c>
      <c r="P140" s="49">
        <f>0.05*C140/100</f>
        <v>0.03</v>
      </c>
      <c r="Q140" s="49">
        <v>3.32</v>
      </c>
      <c r="R140" s="67">
        <v>100502</v>
      </c>
      <c r="S140" s="67"/>
    </row>
    <row r="141" spans="1:19" s="63" customFormat="1" x14ac:dyDescent="0.2">
      <c r="A141" s="49">
        <v>2</v>
      </c>
      <c r="B141" s="47" t="s">
        <v>258</v>
      </c>
      <c r="C141" s="41">
        <v>250</v>
      </c>
      <c r="D141" s="42">
        <f>3.1*C141/100</f>
        <v>7.75</v>
      </c>
      <c r="E141" s="42">
        <f>5*C141/100</f>
        <v>12.5</v>
      </c>
      <c r="F141" s="42">
        <f>5.5*C141/100</f>
        <v>13.75</v>
      </c>
      <c r="G141" s="42">
        <f>79.4*C141/100</f>
        <v>198.5</v>
      </c>
      <c r="H141" s="42">
        <f>0.07*C141/100</f>
        <v>0.17499999999999999</v>
      </c>
      <c r="I141" s="42">
        <f>5.41*C141/100</f>
        <v>13.525</v>
      </c>
      <c r="J141" s="42">
        <f>0*C141/100</f>
        <v>0</v>
      </c>
      <c r="K141" s="42">
        <f>0.09*C141/100</f>
        <v>0.22500000000000001</v>
      </c>
      <c r="L141" s="48">
        <f>9.84*C141/100</f>
        <v>24.6</v>
      </c>
      <c r="M141" s="48">
        <f>62.24*C141/100</f>
        <v>155.6</v>
      </c>
      <c r="N141" s="48">
        <f>16.57*C141/100</f>
        <v>41.424999999999997</v>
      </c>
      <c r="O141" s="42">
        <f>1.88*C141/100</f>
        <v>4.7</v>
      </c>
      <c r="P141" s="49">
        <f>0.07*C141/100</f>
        <v>0.17499999999999999</v>
      </c>
      <c r="Q141" s="49">
        <v>39.43</v>
      </c>
      <c r="R141" s="67">
        <v>110311</v>
      </c>
      <c r="S141" s="67">
        <v>110312</v>
      </c>
    </row>
    <row r="142" spans="1:19" s="63" customFormat="1" x14ac:dyDescent="0.2">
      <c r="A142" s="49">
        <v>3</v>
      </c>
      <c r="B142" s="47" t="s">
        <v>19</v>
      </c>
      <c r="C142" s="41">
        <v>100</v>
      </c>
      <c r="D142" s="42">
        <f>15*C142/100</f>
        <v>15</v>
      </c>
      <c r="E142" s="42">
        <f>5.5*C142/100</f>
        <v>5.5</v>
      </c>
      <c r="F142" s="42">
        <f>0.66*C142/100</f>
        <v>0.66</v>
      </c>
      <c r="G142" s="42">
        <f>109.5*C142/100</f>
        <v>109.5</v>
      </c>
      <c r="H142" s="42">
        <f>0.07*C142/100</f>
        <v>7.0000000000000007E-2</v>
      </c>
      <c r="I142" s="42">
        <f>4.13*C142/100</f>
        <v>4.13</v>
      </c>
      <c r="J142" s="42">
        <f>0.04*C142/100</f>
        <v>0.04</v>
      </c>
      <c r="K142" s="42">
        <f>0.02*C142/100</f>
        <v>0.02</v>
      </c>
      <c r="L142" s="48">
        <f>28.28*C142/100</f>
        <v>28.28</v>
      </c>
      <c r="M142" s="48">
        <f>138.55*C142/100</f>
        <v>138.55000000000001</v>
      </c>
      <c r="N142" s="48">
        <f>24.27*C142/100</f>
        <v>24.27</v>
      </c>
      <c r="O142" s="42">
        <f>1.57*C142/100</f>
        <v>1.57</v>
      </c>
      <c r="P142" s="49">
        <f>0.16*C142/100</f>
        <v>0.16</v>
      </c>
      <c r="Q142" s="49">
        <v>1.2</v>
      </c>
      <c r="R142" s="67">
        <v>120603</v>
      </c>
      <c r="S142" s="67">
        <v>120604</v>
      </c>
    </row>
    <row r="143" spans="1:19" s="63" customFormat="1" x14ac:dyDescent="0.2">
      <c r="A143" s="49">
        <v>4</v>
      </c>
      <c r="B143" s="47" t="s">
        <v>13</v>
      </c>
      <c r="C143" s="41">
        <v>30</v>
      </c>
      <c r="D143" s="60">
        <f>0.9*C143/100</f>
        <v>0.27</v>
      </c>
      <c r="E143" s="60">
        <f>4.5*C143/100</f>
        <v>1.35</v>
      </c>
      <c r="F143" s="60">
        <f>7.4*C143/100</f>
        <v>2.2200000000000002</v>
      </c>
      <c r="G143" s="60">
        <f>73.7*C143/100</f>
        <v>22.11</v>
      </c>
      <c r="H143" s="42">
        <v>8.9999999999999993E-3</v>
      </c>
      <c r="I143" s="42">
        <v>0.15</v>
      </c>
      <c r="J143" s="42">
        <v>6.0000000000000001E-3</v>
      </c>
      <c r="K143" s="42">
        <v>0.03</v>
      </c>
      <c r="L143" s="48">
        <v>46.05</v>
      </c>
      <c r="M143" s="48">
        <v>32.85</v>
      </c>
      <c r="N143" s="48">
        <v>5.0999999999999996</v>
      </c>
      <c r="O143" s="42">
        <v>0.03</v>
      </c>
      <c r="P143" s="49">
        <v>0.03</v>
      </c>
      <c r="Q143" s="49">
        <v>1.35</v>
      </c>
      <c r="R143" s="67">
        <v>140104</v>
      </c>
      <c r="S143" s="67">
        <v>140105</v>
      </c>
    </row>
    <row r="144" spans="1:19" s="63" customFormat="1" x14ac:dyDescent="0.2">
      <c r="A144" s="49">
        <v>5</v>
      </c>
      <c r="B144" s="47" t="s">
        <v>113</v>
      </c>
      <c r="C144" s="41">
        <v>150</v>
      </c>
      <c r="D144" s="42">
        <f>3.22*C144/100</f>
        <v>4.830000000000001</v>
      </c>
      <c r="E144" s="42">
        <f>4.825*C144/100</f>
        <v>7.2374999999999998</v>
      </c>
      <c r="F144" s="42">
        <f>21.9*C144/100</f>
        <v>32.85</v>
      </c>
      <c r="G144" s="42">
        <f>140.5*C144/100</f>
        <v>210.75</v>
      </c>
      <c r="H144" s="42">
        <f>0.14*C144/100</f>
        <v>0.21000000000000005</v>
      </c>
      <c r="I144" s="42">
        <f>0*C144/100</f>
        <v>0</v>
      </c>
      <c r="J144" s="42">
        <f>0.02*C144/100</f>
        <v>0.03</v>
      </c>
      <c r="K144" s="42">
        <f>0.05*C144/100</f>
        <v>7.4999999999999997E-2</v>
      </c>
      <c r="L144" s="48">
        <f>12.38*C144/100</f>
        <v>18.570000000000004</v>
      </c>
      <c r="M144" s="48">
        <f>132.35*C144/100</f>
        <v>198.52500000000001</v>
      </c>
      <c r="N144" s="48">
        <f>88.86*C144/100</f>
        <v>133.29</v>
      </c>
      <c r="O144" s="42">
        <f>2.97*C144/100</f>
        <v>4.455000000000001</v>
      </c>
      <c r="P144" s="49">
        <f>0.075*C144/100</f>
        <v>0.1125</v>
      </c>
      <c r="Q144" s="49">
        <f>0.34*C144/100</f>
        <v>0.51000000000000012</v>
      </c>
      <c r="R144" s="67">
        <v>130309</v>
      </c>
      <c r="S144" s="67">
        <v>130310</v>
      </c>
    </row>
    <row r="145" spans="1:24" s="66" customFormat="1" x14ac:dyDescent="0.2">
      <c r="A145" s="49">
        <v>6</v>
      </c>
      <c r="B145" s="47" t="s">
        <v>231</v>
      </c>
      <c r="C145" s="41">
        <v>200</v>
      </c>
      <c r="D145" s="60">
        <f>0.7*C145/100</f>
        <v>1.4</v>
      </c>
      <c r="E145" s="60">
        <v>0</v>
      </c>
      <c r="F145" s="60">
        <f>12*C145/100</f>
        <v>24</v>
      </c>
      <c r="G145" s="60">
        <f>48*C145/100</f>
        <v>96</v>
      </c>
      <c r="H145" s="42">
        <f>0.105*C145/100</f>
        <v>0.21</v>
      </c>
      <c r="I145" s="42">
        <f>2*C145/100</f>
        <v>4</v>
      </c>
      <c r="J145" s="42">
        <f>0.03*C145/100</f>
        <v>0.06</v>
      </c>
      <c r="K145" s="42">
        <f>0.35*C145/100</f>
        <v>0.7</v>
      </c>
      <c r="L145" s="48">
        <f>10.5*C145/100</f>
        <v>21</v>
      </c>
      <c r="M145" s="48">
        <f>8*C145/100</f>
        <v>16</v>
      </c>
      <c r="N145" s="48">
        <f>11.5*C145/100</f>
        <v>23</v>
      </c>
      <c r="O145" s="49">
        <f>0.35*C145/100</f>
        <v>0.7</v>
      </c>
      <c r="P145" s="49">
        <v>0</v>
      </c>
      <c r="Q145" s="49">
        <v>0.4</v>
      </c>
      <c r="R145" s="67"/>
      <c r="S145" s="67"/>
    </row>
    <row r="146" spans="1:24" s="63" customFormat="1" x14ac:dyDescent="0.2">
      <c r="A146" s="49">
        <v>7</v>
      </c>
      <c r="B146" s="47" t="s">
        <v>160</v>
      </c>
      <c r="C146" s="41">
        <v>40</v>
      </c>
      <c r="D146" s="42">
        <f>7.76*C146/100</f>
        <v>3.1039999999999996</v>
      </c>
      <c r="E146" s="42">
        <f>2.65*C146/100</f>
        <v>1.06</v>
      </c>
      <c r="F146" s="42">
        <f>53.25*C146/100</f>
        <v>21.3</v>
      </c>
      <c r="G146" s="42">
        <f>273*C146/100</f>
        <v>109.2</v>
      </c>
      <c r="H146" s="42">
        <f>0.34*C146/100</f>
        <v>0.13600000000000001</v>
      </c>
      <c r="I146" s="42">
        <f>0*C146/100</f>
        <v>0</v>
      </c>
      <c r="J146" s="42">
        <v>0</v>
      </c>
      <c r="K146" s="42">
        <f>1.5*C146/100</f>
        <v>0.6</v>
      </c>
      <c r="L146" s="48">
        <f>148.1*C146/100</f>
        <v>59.24</v>
      </c>
      <c r="M146" s="48">
        <f>0*C146/100</f>
        <v>0</v>
      </c>
      <c r="N146" s="48">
        <f>16*C146/100</f>
        <v>6.4</v>
      </c>
      <c r="O146" s="42">
        <f>2.4*C146/100</f>
        <v>0.96</v>
      </c>
      <c r="P146" s="56">
        <f>0.2*C146/100</f>
        <v>0.08</v>
      </c>
      <c r="Q146" s="56">
        <f>1.5*C146/100</f>
        <v>0.6</v>
      </c>
      <c r="R146" s="67">
        <v>200102</v>
      </c>
      <c r="S146" s="67"/>
    </row>
    <row r="147" spans="1:24" s="63" customFormat="1" x14ac:dyDescent="0.2">
      <c r="A147" s="49">
        <v>8</v>
      </c>
      <c r="B147" s="47" t="s">
        <v>159</v>
      </c>
      <c r="C147" s="41">
        <v>20</v>
      </c>
      <c r="D147" s="42">
        <f>5.86*C147/100</f>
        <v>1.1719999999999999</v>
      </c>
      <c r="E147" s="42">
        <f>0.94*C147/100</f>
        <v>0.18799999999999997</v>
      </c>
      <c r="F147" s="42">
        <f>44.4*C147/100</f>
        <v>8.8800000000000008</v>
      </c>
      <c r="G147" s="42">
        <f>189*C147/100</f>
        <v>37.799999999999997</v>
      </c>
      <c r="H147" s="42">
        <f>0.4*C147/100</f>
        <v>0.08</v>
      </c>
      <c r="I147" s="42">
        <f>0.03*C147/100</f>
        <v>6.0000000000000001E-3</v>
      </c>
      <c r="J147" s="42">
        <v>0</v>
      </c>
      <c r="K147" s="42">
        <f>1.7*C147/100</f>
        <v>0.34</v>
      </c>
      <c r="L147" s="48">
        <f>25.4*C147/100</f>
        <v>5.08</v>
      </c>
      <c r="M147" s="48">
        <f>105.53*C147/100</f>
        <v>21.105999999999998</v>
      </c>
      <c r="N147" s="48">
        <f>36.5*C147/100</f>
        <v>7.3</v>
      </c>
      <c r="O147" s="42">
        <f>2.45*C147/100</f>
        <v>0.49</v>
      </c>
      <c r="P147" s="56">
        <f>0.2*C147/100</f>
        <v>0.04</v>
      </c>
      <c r="Q147" s="56">
        <f>10*C147/100</f>
        <v>2</v>
      </c>
      <c r="R147" s="67">
        <v>200103</v>
      </c>
      <c r="S147" s="67"/>
    </row>
    <row r="148" spans="1:24" s="4" customFormat="1" ht="18.75" customHeight="1" x14ac:dyDescent="0.25">
      <c r="A148" s="49"/>
      <c r="B148" s="218" t="s">
        <v>4</v>
      </c>
      <c r="C148" s="120"/>
      <c r="D148" s="170">
        <f t="shared" ref="D148:Q148" si="22">SUM(D140:D147)</f>
        <v>34.665999999999997</v>
      </c>
      <c r="E148" s="170">
        <f t="shared" si="22"/>
        <v>33.175500000000007</v>
      </c>
      <c r="F148" s="170">
        <f t="shared" si="22"/>
        <v>108.27999999999999</v>
      </c>
      <c r="G148" s="170">
        <f t="shared" si="22"/>
        <v>855.26</v>
      </c>
      <c r="H148" s="170">
        <f t="shared" si="22"/>
        <v>0.90200000000000002</v>
      </c>
      <c r="I148" s="170">
        <f t="shared" si="22"/>
        <v>26.010999999999999</v>
      </c>
      <c r="J148" s="170">
        <f t="shared" si="22"/>
        <v>0.13600000000000001</v>
      </c>
      <c r="K148" s="170">
        <f t="shared" si="22"/>
        <v>1.99</v>
      </c>
      <c r="L148" s="170">
        <f t="shared" si="22"/>
        <v>227.42000000000002</v>
      </c>
      <c r="M148" s="170">
        <f t="shared" si="22"/>
        <v>584.83100000000002</v>
      </c>
      <c r="N148" s="170">
        <f t="shared" si="22"/>
        <v>249.785</v>
      </c>
      <c r="O148" s="170">
        <f t="shared" si="22"/>
        <v>13.325000000000001</v>
      </c>
      <c r="P148" s="170">
        <f t="shared" si="22"/>
        <v>0.62750000000000006</v>
      </c>
      <c r="Q148" s="170">
        <f t="shared" si="22"/>
        <v>48.81</v>
      </c>
      <c r="R148" s="122"/>
      <c r="S148" s="122"/>
    </row>
    <row r="149" spans="1:24" s="4" customFormat="1" ht="18.75" customHeight="1" x14ac:dyDescent="0.25">
      <c r="A149" s="117"/>
      <c r="B149" s="301" t="s">
        <v>35</v>
      </c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47"/>
    </row>
    <row r="150" spans="1:24" s="63" customFormat="1" x14ac:dyDescent="0.2">
      <c r="A150" s="49">
        <v>1</v>
      </c>
      <c r="B150" s="47" t="s">
        <v>147</v>
      </c>
      <c r="C150" s="59">
        <v>200</v>
      </c>
      <c r="D150" s="60">
        <f>0.1*C150/100</f>
        <v>0.2</v>
      </c>
      <c r="E150" s="60">
        <f>0.02*C150/100</f>
        <v>0.04</v>
      </c>
      <c r="F150" s="60">
        <f>5.11*C150/100</f>
        <v>10.220000000000001</v>
      </c>
      <c r="G150" s="42">
        <f>21.14*C150/100</f>
        <v>42.28</v>
      </c>
      <c r="H150" s="49">
        <f>C150*0/100</f>
        <v>0</v>
      </c>
      <c r="I150" s="49">
        <f>1.43*C150/100</f>
        <v>2.86</v>
      </c>
      <c r="J150" s="49">
        <f>C150*0/100000</f>
        <v>0</v>
      </c>
      <c r="K150" s="49">
        <f>C150*0.01/100</f>
        <v>0.02</v>
      </c>
      <c r="L150" s="48">
        <f>C150*7.87/100</f>
        <v>15.74</v>
      </c>
      <c r="M150" s="48">
        <f>C150*3.65/100</f>
        <v>7.3</v>
      </c>
      <c r="N150" s="48">
        <f>C150*2.98/100</f>
        <v>5.96</v>
      </c>
      <c r="O150" s="49">
        <f>C150*0.32/100</f>
        <v>0.64</v>
      </c>
      <c r="P150" s="49">
        <v>0</v>
      </c>
      <c r="Q150" s="49">
        <v>2.13</v>
      </c>
      <c r="R150" s="67">
        <v>160106</v>
      </c>
      <c r="S150" s="67"/>
    </row>
    <row r="151" spans="1:24" s="52" customFormat="1" x14ac:dyDescent="0.2">
      <c r="A151" s="49">
        <v>2</v>
      </c>
      <c r="B151" s="47" t="s">
        <v>284</v>
      </c>
      <c r="C151" s="41">
        <v>40</v>
      </c>
      <c r="D151" s="251">
        <f>13.48*C151/100</f>
        <v>5.3920000000000003</v>
      </c>
      <c r="E151" s="251">
        <f>24.46*C151/100</f>
        <v>9.7840000000000007</v>
      </c>
      <c r="F151" s="251">
        <f>21.5*C151/100</f>
        <v>8.6</v>
      </c>
      <c r="G151" s="251">
        <f>267*C151/100</f>
        <v>106.8</v>
      </c>
      <c r="H151" s="42">
        <f>0.17*C151/100</f>
        <v>6.8000000000000005E-2</v>
      </c>
      <c r="I151" s="42">
        <f>43.2*C151/100</f>
        <v>17.28</v>
      </c>
      <c r="J151" s="42">
        <v>0</v>
      </c>
      <c r="K151" s="42">
        <v>0</v>
      </c>
      <c r="L151" s="48">
        <f>70.94*C151/100</f>
        <v>28.375999999999998</v>
      </c>
      <c r="M151" s="48">
        <v>0</v>
      </c>
      <c r="N151" s="48">
        <f>6.4*C151/100</f>
        <v>2.56</v>
      </c>
      <c r="O151" s="42">
        <f>2.46*C151/100</f>
        <v>0.9840000000000001</v>
      </c>
      <c r="P151" s="49">
        <f>0.15*C151/100</f>
        <v>0.06</v>
      </c>
      <c r="Q151" s="49">
        <v>0</v>
      </c>
      <c r="R151" s="233">
        <v>100103</v>
      </c>
      <c r="S151" s="233"/>
      <c r="T151" s="226"/>
      <c r="U151" s="68"/>
      <c r="V151" s="68"/>
      <c r="W151" s="68"/>
      <c r="X151" s="68"/>
    </row>
    <row r="152" spans="1:24" s="64" customFormat="1" x14ac:dyDescent="0.3">
      <c r="A152" s="49">
        <v>3</v>
      </c>
      <c r="B152" s="47" t="s">
        <v>187</v>
      </c>
      <c r="C152" s="41">
        <v>100</v>
      </c>
      <c r="D152" s="42">
        <f>5*C152/100</f>
        <v>5</v>
      </c>
      <c r="E152" s="171">
        <f>3.2*C152/100</f>
        <v>3.2</v>
      </c>
      <c r="F152" s="42">
        <f>8.5*C152/100</f>
        <v>8.5</v>
      </c>
      <c r="G152" s="171">
        <f>80.7*C152/100</f>
        <v>80.7</v>
      </c>
      <c r="H152" s="42">
        <f>0.04*C152/100</f>
        <v>0.04</v>
      </c>
      <c r="I152" s="171">
        <f>0.6*C152/100</f>
        <v>0.6</v>
      </c>
      <c r="J152" s="42">
        <f>0.03*C152/100</f>
        <v>0.03</v>
      </c>
      <c r="K152" s="171">
        <v>0</v>
      </c>
      <c r="L152" s="42">
        <f>122*C152/100</f>
        <v>122</v>
      </c>
      <c r="M152" s="42">
        <f>96*C152/100</f>
        <v>96</v>
      </c>
      <c r="N152" s="42">
        <f>15*C152/100</f>
        <v>15</v>
      </c>
      <c r="O152" s="42">
        <f>0.1*C152/100</f>
        <v>0.1</v>
      </c>
      <c r="P152" s="42">
        <f>0.2*C152/100</f>
        <v>0.2</v>
      </c>
      <c r="Q152" s="42">
        <v>0</v>
      </c>
      <c r="R152" s="42"/>
      <c r="S152" s="45"/>
      <c r="T152" s="227"/>
      <c r="U152" s="69"/>
      <c r="V152" s="70"/>
      <c r="W152" s="70"/>
      <c r="X152" s="71"/>
    </row>
    <row r="153" spans="1:24" s="4" customFormat="1" ht="20.25" customHeight="1" x14ac:dyDescent="0.3">
      <c r="A153" s="49"/>
      <c r="B153" s="218" t="s">
        <v>4</v>
      </c>
      <c r="C153" s="120"/>
      <c r="D153" s="172">
        <f t="shared" ref="D153:Q153" si="23">SUM(D150:D152)</f>
        <v>10.592000000000001</v>
      </c>
      <c r="E153" s="172">
        <f t="shared" si="23"/>
        <v>13.024000000000001</v>
      </c>
      <c r="F153" s="172">
        <f t="shared" si="23"/>
        <v>27.32</v>
      </c>
      <c r="G153" s="172">
        <f t="shared" si="23"/>
        <v>229.77999999999997</v>
      </c>
      <c r="H153" s="172">
        <f t="shared" si="23"/>
        <v>0.10800000000000001</v>
      </c>
      <c r="I153" s="172">
        <f t="shared" si="23"/>
        <v>20.740000000000002</v>
      </c>
      <c r="J153" s="172">
        <f t="shared" si="23"/>
        <v>0.03</v>
      </c>
      <c r="K153" s="172">
        <f t="shared" si="23"/>
        <v>0.02</v>
      </c>
      <c r="L153" s="172">
        <f t="shared" si="23"/>
        <v>166.11599999999999</v>
      </c>
      <c r="M153" s="172">
        <f t="shared" si="23"/>
        <v>103.3</v>
      </c>
      <c r="N153" s="172">
        <f t="shared" si="23"/>
        <v>23.52</v>
      </c>
      <c r="O153" s="172">
        <f t="shared" si="23"/>
        <v>1.7240000000000002</v>
      </c>
      <c r="P153" s="192">
        <f t="shared" si="23"/>
        <v>0.26</v>
      </c>
      <c r="Q153" s="192">
        <f t="shared" si="23"/>
        <v>2.13</v>
      </c>
      <c r="R153" s="122"/>
      <c r="S153" s="223"/>
      <c r="T153" s="228"/>
      <c r="U153" s="74"/>
      <c r="V153" s="74"/>
      <c r="W153" s="74"/>
      <c r="X153" s="74"/>
    </row>
    <row r="154" spans="1:24" s="4" customFormat="1" ht="20.25" customHeight="1" x14ac:dyDescent="0.25">
      <c r="A154" s="49"/>
      <c r="B154" s="218" t="s">
        <v>7</v>
      </c>
      <c r="C154" s="120"/>
      <c r="D154" s="170">
        <f t="shared" ref="D154:Q154" si="24">D138+D148+D153</f>
        <v>73.010000000000005</v>
      </c>
      <c r="E154" s="170">
        <f t="shared" si="24"/>
        <v>63.029500000000006</v>
      </c>
      <c r="F154" s="170">
        <f t="shared" si="24"/>
        <v>205.26999999999998</v>
      </c>
      <c r="G154" s="170">
        <f t="shared" si="24"/>
        <v>1604.04</v>
      </c>
      <c r="H154" s="170">
        <f t="shared" si="24"/>
        <v>1.1910000000000001</v>
      </c>
      <c r="I154" s="170">
        <f t="shared" si="24"/>
        <v>227.36600000000001</v>
      </c>
      <c r="J154" s="170">
        <f t="shared" si="24"/>
        <v>0.29300000000000004</v>
      </c>
      <c r="K154" s="170">
        <f t="shared" si="24"/>
        <v>3.2949999999999999</v>
      </c>
      <c r="L154" s="170">
        <f t="shared" si="24"/>
        <v>766.73599999999999</v>
      </c>
      <c r="M154" s="170">
        <f t="shared" si="24"/>
        <v>1065.741</v>
      </c>
      <c r="N154" s="170">
        <f t="shared" si="24"/>
        <v>347.4</v>
      </c>
      <c r="O154" s="170">
        <f t="shared" si="24"/>
        <v>16.580000000000002</v>
      </c>
      <c r="P154" s="170">
        <f t="shared" si="24"/>
        <v>1.4215000000000002</v>
      </c>
      <c r="Q154" s="170">
        <f t="shared" si="24"/>
        <v>59.120000000000005</v>
      </c>
      <c r="R154" s="122"/>
      <c r="S154" s="223"/>
      <c r="T154" s="228"/>
      <c r="U154" s="74"/>
      <c r="V154" s="74"/>
      <c r="W154" s="74"/>
      <c r="X154" s="74"/>
    </row>
    <row r="155" spans="1:24" s="54" customFormat="1" x14ac:dyDescent="0.3">
      <c r="A155" s="125"/>
      <c r="B155" s="218" t="s">
        <v>153</v>
      </c>
      <c r="C155" s="129"/>
      <c r="D155" s="170">
        <f t="shared" ref="D155:Q155" si="25">(D31+D57+D82+D106+D129+D154)/6</f>
        <v>63.058916666666654</v>
      </c>
      <c r="E155" s="170">
        <f t="shared" si="25"/>
        <v>56.119749999999989</v>
      </c>
      <c r="F155" s="170">
        <f t="shared" si="25"/>
        <v>231.524</v>
      </c>
      <c r="G155" s="170">
        <f t="shared" si="25"/>
        <v>1673.8024999999998</v>
      </c>
      <c r="H155" s="170">
        <f t="shared" si="25"/>
        <v>1.4168666666666667</v>
      </c>
      <c r="I155" s="170">
        <f t="shared" si="25"/>
        <v>119.24549999999999</v>
      </c>
      <c r="J155" s="170">
        <f t="shared" si="25"/>
        <v>1.6194999999999997</v>
      </c>
      <c r="K155" s="170">
        <f t="shared" si="25"/>
        <v>5.8168333333333342</v>
      </c>
      <c r="L155" s="170">
        <f t="shared" si="25"/>
        <v>594.29466666666667</v>
      </c>
      <c r="M155" s="170">
        <f t="shared" si="25"/>
        <v>864.56100000000004</v>
      </c>
      <c r="N155" s="170">
        <f t="shared" si="25"/>
        <v>248.82424999999998</v>
      </c>
      <c r="O155" s="170">
        <f t="shared" si="25"/>
        <v>13.412766666666665</v>
      </c>
      <c r="P155" s="170">
        <f t="shared" si="25"/>
        <v>1.3478662500000003</v>
      </c>
      <c r="Q155" s="170">
        <f t="shared" si="25"/>
        <v>58.098500000000001</v>
      </c>
      <c r="R155" s="130"/>
      <c r="S155" s="224"/>
      <c r="T155" s="229"/>
      <c r="U155" s="225"/>
      <c r="V155" s="225"/>
      <c r="W155" s="225"/>
      <c r="X155" s="225"/>
    </row>
    <row r="156" spans="1:24" s="4" customFormat="1" ht="40.5" customHeight="1" thickBot="1" x14ac:dyDescent="0.3">
      <c r="A156" s="314" t="s">
        <v>47</v>
      </c>
      <c r="B156" s="315"/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228"/>
      <c r="U156" s="74"/>
      <c r="V156" s="74"/>
      <c r="W156" s="74"/>
      <c r="X156" s="74"/>
    </row>
    <row r="157" spans="1:24" s="4" customFormat="1" ht="19.5" customHeight="1" x14ac:dyDescent="0.25">
      <c r="A157" s="349" t="s">
        <v>3</v>
      </c>
      <c r="B157" s="350"/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1"/>
    </row>
    <row r="158" spans="1:24" s="63" customFormat="1" x14ac:dyDescent="0.2">
      <c r="A158" s="49">
        <v>1</v>
      </c>
      <c r="B158" s="47" t="s">
        <v>111</v>
      </c>
      <c r="C158" s="41">
        <v>150</v>
      </c>
      <c r="D158" s="42">
        <f>6.06*C158/100</f>
        <v>9.0899999999999981</v>
      </c>
      <c r="E158" s="42">
        <f>8.65*C158/100</f>
        <v>12.975</v>
      </c>
      <c r="F158" s="42">
        <f>18.91*C158/100</f>
        <v>28.364999999999998</v>
      </c>
      <c r="G158" s="42">
        <f>185.41*C158/100</f>
        <v>278.11500000000001</v>
      </c>
      <c r="H158" s="42">
        <f>0.03*C158/100</f>
        <v>4.4999999999999998E-2</v>
      </c>
      <c r="I158" s="42">
        <f>0.08*C158/100</f>
        <v>0.12</v>
      </c>
      <c r="J158" s="42">
        <f>0.05*C158/100</f>
        <v>7.4999999999999997E-2</v>
      </c>
      <c r="K158" s="42">
        <f>0.12*C158/100</f>
        <v>0.18</v>
      </c>
      <c r="L158" s="42">
        <f>102.51*C158/100</f>
        <v>153.76499999999999</v>
      </c>
      <c r="M158" s="42">
        <f>86.21*C158/100</f>
        <v>129.31499999999997</v>
      </c>
      <c r="N158" s="42">
        <f>9.44*C158/100</f>
        <v>14.16</v>
      </c>
      <c r="O158" s="42">
        <f>0.59*C158/100</f>
        <v>0.88500000000000001</v>
      </c>
      <c r="P158" s="49">
        <f>0.04*C158/100</f>
        <v>0.06</v>
      </c>
      <c r="Q158" s="49">
        <v>1.45</v>
      </c>
      <c r="R158" s="67">
        <v>120213</v>
      </c>
      <c r="S158" s="177">
        <v>120214</v>
      </c>
    </row>
    <row r="159" spans="1:24" s="63" customFormat="1" x14ac:dyDescent="0.2">
      <c r="A159" s="49">
        <v>2</v>
      </c>
      <c r="B159" s="47" t="s">
        <v>233</v>
      </c>
      <c r="C159" s="41">
        <v>200</v>
      </c>
      <c r="D159" s="171">
        <f>0*C159/100</f>
        <v>0</v>
      </c>
      <c r="E159" s="171">
        <f>0*C159/100</f>
        <v>0</v>
      </c>
      <c r="F159" s="171">
        <f>0*C159/100</f>
        <v>0</v>
      </c>
      <c r="G159" s="171">
        <f>17*C159/100</f>
        <v>34</v>
      </c>
      <c r="H159" s="42">
        <v>0</v>
      </c>
      <c r="I159" s="42">
        <v>0</v>
      </c>
      <c r="J159" s="42">
        <v>0</v>
      </c>
      <c r="K159" s="42">
        <v>0</v>
      </c>
      <c r="L159" s="48">
        <v>4.8600000000000003</v>
      </c>
      <c r="M159" s="48">
        <v>0</v>
      </c>
      <c r="N159" s="48">
        <v>1.08</v>
      </c>
      <c r="O159" s="42">
        <v>0</v>
      </c>
      <c r="P159" s="49">
        <v>0</v>
      </c>
      <c r="Q159" s="49">
        <v>0</v>
      </c>
      <c r="R159" s="67">
        <v>160107</v>
      </c>
      <c r="S159" s="67"/>
    </row>
    <row r="160" spans="1:24" s="63" customFormat="1" x14ac:dyDescent="0.3">
      <c r="A160" s="49">
        <v>3</v>
      </c>
      <c r="B160" s="47" t="s">
        <v>140</v>
      </c>
      <c r="C160" s="41">
        <v>10</v>
      </c>
      <c r="D160" s="171">
        <f>0*C160/100</f>
        <v>0</v>
      </c>
      <c r="E160" s="171">
        <f>0*C160/100</f>
        <v>0</v>
      </c>
      <c r="F160" s="171">
        <f>99.8*C160/100</f>
        <v>9.98</v>
      </c>
      <c r="G160" s="171">
        <f>374.3*C160/100</f>
        <v>37.43</v>
      </c>
      <c r="H160" s="42">
        <v>0</v>
      </c>
      <c r="I160" s="42">
        <v>0</v>
      </c>
      <c r="J160" s="42">
        <v>0</v>
      </c>
      <c r="K160" s="42">
        <v>0</v>
      </c>
      <c r="L160" s="42">
        <v>0.2</v>
      </c>
      <c r="M160" s="42">
        <v>0</v>
      </c>
      <c r="N160" s="42">
        <v>0</v>
      </c>
      <c r="O160" s="42">
        <v>0.03</v>
      </c>
      <c r="P160" s="55">
        <v>0</v>
      </c>
      <c r="Q160" s="55">
        <v>0</v>
      </c>
      <c r="R160" s="67"/>
      <c r="S160" s="67"/>
    </row>
    <row r="161" spans="1:19" s="46" customFormat="1" ht="31.5" x14ac:dyDescent="0.3">
      <c r="A161" s="49">
        <v>4</v>
      </c>
      <c r="B161" s="47" t="s">
        <v>256</v>
      </c>
      <c r="C161" s="41">
        <v>50</v>
      </c>
      <c r="D161" s="42">
        <f>11.4*C161/100</f>
        <v>5.7</v>
      </c>
      <c r="E161" s="42">
        <f>6.2*C161/100</f>
        <v>3.1</v>
      </c>
      <c r="F161" s="42">
        <f>54.7*C161/100</f>
        <v>27.35</v>
      </c>
      <c r="G161" s="42">
        <f>320.2*C161/100</f>
        <v>160.1</v>
      </c>
      <c r="H161" s="42">
        <f>0.16*C161/100</f>
        <v>0.08</v>
      </c>
      <c r="I161" s="42">
        <f>0.76*C161/100</f>
        <v>0.38</v>
      </c>
      <c r="J161" s="42">
        <f>0.02*C161/100</f>
        <v>0.01</v>
      </c>
      <c r="K161" s="42">
        <f>1.25*C161/100</f>
        <v>0.625</v>
      </c>
      <c r="L161" s="42">
        <f>63.4*C161/100</f>
        <v>31.7</v>
      </c>
      <c r="M161" s="42">
        <f>102.56*C161/100</f>
        <v>51.28</v>
      </c>
      <c r="N161" s="42">
        <f>19.8*C161/100</f>
        <v>9.9</v>
      </c>
      <c r="O161" s="42">
        <f>1.19*C161/100</f>
        <v>0.59499999999999997</v>
      </c>
      <c r="P161" s="55">
        <f>0.09*C161/100</f>
        <v>4.4999999999999998E-2</v>
      </c>
      <c r="Q161" s="55">
        <v>3.01</v>
      </c>
      <c r="R161" s="183" t="s">
        <v>244</v>
      </c>
      <c r="S161" s="67">
        <v>190109</v>
      </c>
    </row>
    <row r="162" spans="1:19" s="64" customFormat="1" ht="18.75" customHeight="1" x14ac:dyDescent="0.3">
      <c r="A162" s="49">
        <v>5</v>
      </c>
      <c r="B162" s="47" t="s">
        <v>232</v>
      </c>
      <c r="C162" s="41" t="s">
        <v>274</v>
      </c>
      <c r="D162" s="42">
        <v>0.6</v>
      </c>
      <c r="E162" s="42">
        <v>0.45</v>
      </c>
      <c r="F162" s="42">
        <v>15.45</v>
      </c>
      <c r="G162" s="42">
        <v>70.5</v>
      </c>
      <c r="H162" s="42">
        <v>0.03</v>
      </c>
      <c r="I162" s="42">
        <v>7.5</v>
      </c>
      <c r="J162" s="42">
        <v>0</v>
      </c>
      <c r="K162" s="42">
        <v>0.6</v>
      </c>
      <c r="L162" s="42">
        <v>28.5</v>
      </c>
      <c r="M162" s="42">
        <v>24</v>
      </c>
      <c r="N162" s="42">
        <v>18</v>
      </c>
      <c r="O162" s="42">
        <v>3.0000000000000001E-3</v>
      </c>
      <c r="P162" s="55">
        <v>4.4999999999999998E-2</v>
      </c>
      <c r="Q162" s="55">
        <v>0</v>
      </c>
      <c r="R162" s="122">
        <v>210106</v>
      </c>
      <c r="S162" s="122"/>
    </row>
    <row r="163" spans="1:19" s="4" customFormat="1" ht="18.75" customHeight="1" x14ac:dyDescent="0.3">
      <c r="A163" s="49"/>
      <c r="B163" s="219" t="s">
        <v>4</v>
      </c>
      <c r="C163" s="109"/>
      <c r="D163" s="172">
        <f t="shared" ref="D163:Q163" si="26">SUM(D158:D162)</f>
        <v>15.389999999999999</v>
      </c>
      <c r="E163" s="172">
        <f t="shared" si="26"/>
        <v>16.524999999999999</v>
      </c>
      <c r="F163" s="172">
        <f t="shared" si="26"/>
        <v>81.144999999999996</v>
      </c>
      <c r="G163" s="172">
        <f t="shared" si="26"/>
        <v>580.14499999999998</v>
      </c>
      <c r="H163" s="172">
        <f t="shared" si="26"/>
        <v>0.155</v>
      </c>
      <c r="I163" s="172">
        <f t="shared" si="26"/>
        <v>8</v>
      </c>
      <c r="J163" s="172">
        <f t="shared" si="26"/>
        <v>8.4999999999999992E-2</v>
      </c>
      <c r="K163" s="172">
        <f t="shared" si="26"/>
        <v>1.4049999999999998</v>
      </c>
      <c r="L163" s="172">
        <f t="shared" si="26"/>
        <v>219.02499999999998</v>
      </c>
      <c r="M163" s="172">
        <f t="shared" si="26"/>
        <v>204.59499999999997</v>
      </c>
      <c r="N163" s="172">
        <f t="shared" si="26"/>
        <v>43.14</v>
      </c>
      <c r="O163" s="172">
        <f t="shared" si="26"/>
        <v>1.5129999999999999</v>
      </c>
      <c r="P163" s="192">
        <f t="shared" si="26"/>
        <v>0.15</v>
      </c>
      <c r="Q163" s="192">
        <f t="shared" si="26"/>
        <v>4.46</v>
      </c>
      <c r="R163" s="122"/>
      <c r="S163" s="122"/>
    </row>
    <row r="164" spans="1:19" s="4" customFormat="1" ht="18.75" customHeight="1" x14ac:dyDescent="0.25">
      <c r="A164" s="314" t="s">
        <v>5</v>
      </c>
      <c r="B164" s="315"/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315"/>
      <c r="R164" s="315"/>
      <c r="S164" s="343"/>
    </row>
    <row r="165" spans="1:19" s="63" customFormat="1" x14ac:dyDescent="0.2">
      <c r="A165" s="49">
        <v>1</v>
      </c>
      <c r="B165" s="47" t="s">
        <v>133</v>
      </c>
      <c r="C165" s="182">
        <v>60</v>
      </c>
      <c r="D165" s="42">
        <f>0.74*C165/100</f>
        <v>0.44400000000000001</v>
      </c>
      <c r="E165" s="42">
        <f>12.08*C165/100</f>
        <v>7.2479999999999993</v>
      </c>
      <c r="F165" s="42">
        <f>2.36*C165/100</f>
        <v>1.4159999999999999</v>
      </c>
      <c r="G165" s="42">
        <f>120.69*C165/100</f>
        <v>72.414000000000001</v>
      </c>
      <c r="H165" s="94">
        <f>0.03*C165/100</f>
        <v>1.7999999999999999E-2</v>
      </c>
      <c r="I165" s="94">
        <f>10.3*C165/100</f>
        <v>6.18</v>
      </c>
      <c r="J165" s="94">
        <v>0</v>
      </c>
      <c r="K165" s="94">
        <f>2.16*C165/100</f>
        <v>1.2960000000000003</v>
      </c>
      <c r="L165" s="124">
        <f>22.69*C165/100</f>
        <v>13.614000000000001</v>
      </c>
      <c r="M165" s="124">
        <f>38.15*C165/100</f>
        <v>22.89</v>
      </c>
      <c r="N165" s="124">
        <f>13.17*C165/100</f>
        <v>7.9020000000000001</v>
      </c>
      <c r="O165" s="94">
        <f>0.55*C165/100</f>
        <v>0.33</v>
      </c>
      <c r="P165" s="49">
        <v>0.04</v>
      </c>
      <c r="Q165" s="49">
        <v>1.1299999999999999</v>
      </c>
      <c r="R165" s="67">
        <v>100507</v>
      </c>
      <c r="S165" s="67"/>
    </row>
    <row r="166" spans="1:19" s="63" customFormat="1" x14ac:dyDescent="0.2">
      <c r="A166" s="49">
        <v>2</v>
      </c>
      <c r="B166" s="47" t="s">
        <v>6</v>
      </c>
      <c r="C166" s="41">
        <v>250</v>
      </c>
      <c r="D166" s="42">
        <f>0.6*C166/100</f>
        <v>1.5</v>
      </c>
      <c r="E166" s="42">
        <f>0.7*C166/100</f>
        <v>1.75</v>
      </c>
      <c r="F166" s="42">
        <f>2*C166/100</f>
        <v>5</v>
      </c>
      <c r="G166" s="42">
        <f>16.7*C166/100</f>
        <v>41.75</v>
      </c>
      <c r="H166" s="42">
        <f>0.04*C166/100</f>
        <v>0.1</v>
      </c>
      <c r="I166" s="42">
        <f>10.07*C166/100</f>
        <v>25.175000000000001</v>
      </c>
      <c r="J166" s="42">
        <f>0.01*C166/100</f>
        <v>2.5000000000000001E-2</v>
      </c>
      <c r="K166" s="42">
        <f>0.11*C166/100</f>
        <v>0.27500000000000002</v>
      </c>
      <c r="L166" s="48">
        <f>14.94*C166/100</f>
        <v>37.35</v>
      </c>
      <c r="M166" s="48">
        <f>27.09*C166/100</f>
        <v>67.724999999999994</v>
      </c>
      <c r="N166" s="48">
        <f>11.73*C166/100</f>
        <v>29.324999999999999</v>
      </c>
      <c r="O166" s="42">
        <f>0.37*C166/100</f>
        <v>0.92500000000000004</v>
      </c>
      <c r="P166" s="49">
        <f>0.04*C166/100</f>
        <v>0.1</v>
      </c>
      <c r="Q166" s="49">
        <v>3.25</v>
      </c>
      <c r="R166" s="67">
        <v>110305</v>
      </c>
      <c r="S166" s="67">
        <v>110306</v>
      </c>
    </row>
    <row r="167" spans="1:19" s="63" customFormat="1" x14ac:dyDescent="0.2">
      <c r="A167" s="49">
        <v>3</v>
      </c>
      <c r="B167" s="47" t="s">
        <v>176</v>
      </c>
      <c r="C167" s="41">
        <v>100</v>
      </c>
      <c r="D167" s="42">
        <f>13.9*C167/100</f>
        <v>13.9</v>
      </c>
      <c r="E167" s="42">
        <f>7*C167/100</f>
        <v>7</v>
      </c>
      <c r="F167" s="42">
        <f>4.9*C167/100</f>
        <v>4.9000000000000004</v>
      </c>
      <c r="G167" s="42">
        <f>138.2*C167/100</f>
        <v>138.19999999999999</v>
      </c>
      <c r="H167" s="94">
        <f>0.1*C167/100</f>
        <v>0.1</v>
      </c>
      <c r="I167" s="94">
        <f>1.31*C167/100</f>
        <v>1.31</v>
      </c>
      <c r="J167" s="94">
        <v>0</v>
      </c>
      <c r="K167" s="94">
        <f>2.34*C167/100</f>
        <v>2.34</v>
      </c>
      <c r="L167" s="124">
        <f>29.43*C167/100</f>
        <v>29.43</v>
      </c>
      <c r="M167" s="124">
        <f>196.38*C167/100</f>
        <v>196.38</v>
      </c>
      <c r="N167" s="124">
        <f>31.5*C167/100</f>
        <v>31.5</v>
      </c>
      <c r="O167" s="94">
        <f>2.71*C167/100</f>
        <v>2.71</v>
      </c>
      <c r="P167" s="49">
        <f>0.19*C167/100</f>
        <v>0.19</v>
      </c>
      <c r="Q167" s="124">
        <f>38.15*E167/100</f>
        <v>2.6705000000000001</v>
      </c>
      <c r="R167" s="67">
        <v>120503</v>
      </c>
      <c r="S167" s="185">
        <v>120504</v>
      </c>
    </row>
    <row r="168" spans="1:19" s="63" customFormat="1" x14ac:dyDescent="0.2">
      <c r="A168" s="49">
        <v>4</v>
      </c>
      <c r="B168" s="47" t="s">
        <v>203</v>
      </c>
      <c r="C168" s="41">
        <v>150</v>
      </c>
      <c r="D168" s="42">
        <f>2.625*C168/100</f>
        <v>3.9375</v>
      </c>
      <c r="E168" s="42">
        <f>8.225*C168/100</f>
        <v>12.3375</v>
      </c>
      <c r="F168" s="42">
        <f>25.34*C168/100</f>
        <v>38.01</v>
      </c>
      <c r="G168" s="42">
        <f>185.9*C168/100</f>
        <v>278.85000000000002</v>
      </c>
      <c r="H168" s="42">
        <f>0.02*C168/100</f>
        <v>0.03</v>
      </c>
      <c r="I168" s="42">
        <f>0*C168/100</f>
        <v>0</v>
      </c>
      <c r="J168" s="42">
        <f>0.048*C168/100</f>
        <v>7.2000000000000008E-2</v>
      </c>
      <c r="K168" s="42">
        <f>0.1*C168/100</f>
        <v>0.15</v>
      </c>
      <c r="L168" s="48">
        <f>1.38*C168/100</f>
        <v>2.0699999999999998</v>
      </c>
      <c r="M168" s="48">
        <f>40.5*C168/100</f>
        <v>60.75</v>
      </c>
      <c r="N168" s="48">
        <f>12.43*C168/100</f>
        <v>18.645</v>
      </c>
      <c r="O168" s="42">
        <f>0.35*C168/100</f>
        <v>0.52500000000000002</v>
      </c>
      <c r="P168" s="49">
        <f>0.015*C168/100</f>
        <v>2.2499999999999999E-2</v>
      </c>
      <c r="Q168" s="49">
        <v>0</v>
      </c>
      <c r="R168" s="67">
        <v>130303</v>
      </c>
      <c r="S168" s="67">
        <v>130304</v>
      </c>
    </row>
    <row r="169" spans="1:19" s="64" customFormat="1" ht="42" customHeight="1" x14ac:dyDescent="0.3">
      <c r="A169" s="49">
        <v>5</v>
      </c>
      <c r="B169" s="47" t="s">
        <v>168</v>
      </c>
      <c r="C169" s="41">
        <v>200</v>
      </c>
      <c r="D169" s="42">
        <f>0.05*C169/100</f>
        <v>0.1</v>
      </c>
      <c r="E169" s="42">
        <f>0.02*C169/100</f>
        <v>0.04</v>
      </c>
      <c r="F169" s="42">
        <f>8.79*C169/100</f>
        <v>17.579999999999998</v>
      </c>
      <c r="G169" s="42">
        <f>26.86*C169/100</f>
        <v>53.72</v>
      </c>
      <c r="H169" s="42">
        <v>0</v>
      </c>
      <c r="I169" s="42">
        <f>1.5*C169/100</f>
        <v>3</v>
      </c>
      <c r="J169" s="42">
        <v>0</v>
      </c>
      <c r="K169" s="42">
        <v>0</v>
      </c>
      <c r="L169" s="42">
        <f>7.55*C169/100</f>
        <v>15.1</v>
      </c>
      <c r="M169" s="42">
        <f>4.57*C169/100</f>
        <v>9.14</v>
      </c>
      <c r="N169" s="42">
        <f>2.45*C169/100</f>
        <v>4.9000000000000004</v>
      </c>
      <c r="O169" s="42">
        <f>0.07*C169/100</f>
        <v>0.14000000000000001</v>
      </c>
      <c r="P169" s="55">
        <v>0</v>
      </c>
      <c r="Q169" s="55">
        <v>0</v>
      </c>
      <c r="R169" s="122">
        <v>160202</v>
      </c>
      <c r="S169" s="122"/>
    </row>
    <row r="170" spans="1:19" s="63" customFormat="1" x14ac:dyDescent="0.2">
      <c r="A170" s="49">
        <v>6</v>
      </c>
      <c r="B170" s="47" t="s">
        <v>160</v>
      </c>
      <c r="C170" s="41">
        <v>40</v>
      </c>
      <c r="D170" s="42">
        <f>7.76*C170/100</f>
        <v>3.1039999999999996</v>
      </c>
      <c r="E170" s="42">
        <f>2.65*C170/100</f>
        <v>1.06</v>
      </c>
      <c r="F170" s="42">
        <f>53.25*C170/100</f>
        <v>21.3</v>
      </c>
      <c r="G170" s="42">
        <f>273*C170/100</f>
        <v>109.2</v>
      </c>
      <c r="H170" s="42">
        <f>0.34*C170/100</f>
        <v>0.13600000000000001</v>
      </c>
      <c r="I170" s="42">
        <f>0*C170/100</f>
        <v>0</v>
      </c>
      <c r="J170" s="42">
        <v>0</v>
      </c>
      <c r="K170" s="42">
        <f>1.5*C170/100</f>
        <v>0.6</v>
      </c>
      <c r="L170" s="48">
        <f>148.1*C170/100</f>
        <v>59.24</v>
      </c>
      <c r="M170" s="48">
        <f>0*C170/100</f>
        <v>0</v>
      </c>
      <c r="N170" s="48">
        <f>16*C170/100</f>
        <v>6.4</v>
      </c>
      <c r="O170" s="42">
        <f>2.4*C170/100</f>
        <v>0.96</v>
      </c>
      <c r="P170" s="56">
        <f>0.2*C170/100</f>
        <v>0.08</v>
      </c>
      <c r="Q170" s="56">
        <f>1.5*C170/100</f>
        <v>0.6</v>
      </c>
      <c r="R170" s="67">
        <v>200102</v>
      </c>
      <c r="S170" s="67"/>
    </row>
    <row r="171" spans="1:19" s="63" customFormat="1" x14ac:dyDescent="0.2">
      <c r="A171" s="49">
        <v>7</v>
      </c>
      <c r="B171" s="47" t="s">
        <v>159</v>
      </c>
      <c r="C171" s="41">
        <v>20</v>
      </c>
      <c r="D171" s="42">
        <f>5.86*C171/100</f>
        <v>1.1719999999999999</v>
      </c>
      <c r="E171" s="42">
        <f>0.94*C171/100</f>
        <v>0.18799999999999997</v>
      </c>
      <c r="F171" s="42">
        <f>44.4*C171/100</f>
        <v>8.8800000000000008</v>
      </c>
      <c r="G171" s="42">
        <f>189*C171/100</f>
        <v>37.799999999999997</v>
      </c>
      <c r="H171" s="42">
        <f>0.4*C171/100</f>
        <v>0.08</v>
      </c>
      <c r="I171" s="42">
        <f>0.03*C171/100</f>
        <v>6.0000000000000001E-3</v>
      </c>
      <c r="J171" s="42">
        <v>0</v>
      </c>
      <c r="K171" s="42">
        <f>1.7*C171/100</f>
        <v>0.34</v>
      </c>
      <c r="L171" s="48">
        <f>25.4*C171/100</f>
        <v>5.08</v>
      </c>
      <c r="M171" s="48">
        <f>105.53*C171/100</f>
        <v>21.105999999999998</v>
      </c>
      <c r="N171" s="48">
        <f>36.5*C171/100</f>
        <v>7.3</v>
      </c>
      <c r="O171" s="42">
        <f>2.45*C171/100</f>
        <v>0.49</v>
      </c>
      <c r="P171" s="56">
        <f>0.2*C171/100</f>
        <v>0.04</v>
      </c>
      <c r="Q171" s="56">
        <f>10*C171/100</f>
        <v>2</v>
      </c>
      <c r="R171" s="67">
        <v>200103</v>
      </c>
      <c r="S171" s="67"/>
    </row>
    <row r="172" spans="1:19" s="53" customFormat="1" ht="15.75" customHeight="1" x14ac:dyDescent="0.3">
      <c r="A172" s="49">
        <v>8</v>
      </c>
      <c r="B172" s="47" t="s">
        <v>146</v>
      </c>
      <c r="C172" s="41">
        <v>18</v>
      </c>
      <c r="D172" s="42">
        <v>7.0000000000000007E-2</v>
      </c>
      <c r="E172" s="42">
        <v>0</v>
      </c>
      <c r="F172" s="42">
        <v>13.79</v>
      </c>
      <c r="G172" s="42">
        <v>52.74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55">
        <v>0</v>
      </c>
      <c r="Q172" s="55">
        <v>0</v>
      </c>
      <c r="R172" s="122"/>
      <c r="S172" s="122"/>
    </row>
    <row r="173" spans="1:19" s="4" customFormat="1" ht="42" customHeight="1" x14ac:dyDescent="0.25">
      <c r="A173" s="49"/>
      <c r="B173" s="218" t="s">
        <v>4</v>
      </c>
      <c r="C173" s="120"/>
      <c r="D173" s="170">
        <f t="shared" ref="D173:Q173" si="27">SUM(D165:D172)</f>
        <v>24.227500000000003</v>
      </c>
      <c r="E173" s="170">
        <f t="shared" si="27"/>
        <v>29.623499999999996</v>
      </c>
      <c r="F173" s="170">
        <f t="shared" si="27"/>
        <v>110.876</v>
      </c>
      <c r="G173" s="170">
        <f t="shared" si="27"/>
        <v>784.67399999999998</v>
      </c>
      <c r="H173" s="170">
        <f t="shared" si="27"/>
        <v>0.46400000000000002</v>
      </c>
      <c r="I173" s="170">
        <f t="shared" si="27"/>
        <v>35.670999999999999</v>
      </c>
      <c r="J173" s="170">
        <f t="shared" si="27"/>
        <v>9.7000000000000003E-2</v>
      </c>
      <c r="K173" s="170">
        <f t="shared" si="27"/>
        <v>5.0009999999999994</v>
      </c>
      <c r="L173" s="170">
        <f t="shared" si="27"/>
        <v>161.88400000000001</v>
      </c>
      <c r="M173" s="170">
        <f t="shared" si="27"/>
        <v>377.99099999999999</v>
      </c>
      <c r="N173" s="170">
        <f t="shared" si="27"/>
        <v>105.97200000000001</v>
      </c>
      <c r="O173" s="170">
        <f t="shared" si="27"/>
        <v>6.08</v>
      </c>
      <c r="P173" s="170">
        <f t="shared" si="27"/>
        <v>0.47250000000000003</v>
      </c>
      <c r="Q173" s="170">
        <f t="shared" si="27"/>
        <v>9.6504999999999992</v>
      </c>
      <c r="R173" s="122"/>
      <c r="S173" s="122"/>
    </row>
    <row r="174" spans="1:19" s="4" customFormat="1" ht="19.5" customHeight="1" x14ac:dyDescent="0.25">
      <c r="A174" s="314" t="s">
        <v>35</v>
      </c>
      <c r="B174" s="315"/>
      <c r="C174" s="315"/>
      <c r="D174" s="315"/>
      <c r="E174" s="315"/>
      <c r="F174" s="315"/>
      <c r="G174" s="315"/>
      <c r="H174" s="315"/>
      <c r="I174" s="315"/>
      <c r="J174" s="315"/>
      <c r="K174" s="315"/>
      <c r="L174" s="315"/>
      <c r="M174" s="315"/>
      <c r="N174" s="315"/>
      <c r="O174" s="315"/>
      <c r="P174" s="315"/>
      <c r="Q174" s="315"/>
      <c r="R174" s="315"/>
      <c r="S174" s="343"/>
    </row>
    <row r="175" spans="1:19" s="63" customFormat="1" x14ac:dyDescent="0.2">
      <c r="A175" s="49">
        <v>1</v>
      </c>
      <c r="B175" s="47" t="s">
        <v>161</v>
      </c>
      <c r="C175" s="59">
        <v>200</v>
      </c>
      <c r="D175" s="60">
        <f>3*C175/100</f>
        <v>6</v>
      </c>
      <c r="E175" s="60">
        <f>3.2*C175/100</f>
        <v>6.4</v>
      </c>
      <c r="F175" s="60">
        <f>4.7*C175/100</f>
        <v>9.4</v>
      </c>
      <c r="G175" s="42">
        <f>60*C175/100</f>
        <v>120</v>
      </c>
      <c r="H175" s="49">
        <f>0.18*C175/100</f>
        <v>0.36</v>
      </c>
      <c r="I175" s="49">
        <f>10*C175/100</f>
        <v>20</v>
      </c>
      <c r="J175" s="49">
        <v>0</v>
      </c>
      <c r="K175" s="49">
        <v>0</v>
      </c>
      <c r="L175" s="48">
        <v>0</v>
      </c>
      <c r="M175" s="48">
        <v>0</v>
      </c>
      <c r="N175" s="48">
        <v>0</v>
      </c>
      <c r="O175" s="49">
        <v>0</v>
      </c>
      <c r="P175" s="49">
        <v>0</v>
      </c>
      <c r="Q175" s="49">
        <f>9*C175/100</f>
        <v>18</v>
      </c>
      <c r="R175" s="67"/>
      <c r="S175" s="67"/>
    </row>
    <row r="176" spans="1:19" s="63" customFormat="1" x14ac:dyDescent="0.2">
      <c r="A176" s="49">
        <v>2</v>
      </c>
      <c r="B176" s="47" t="s">
        <v>186</v>
      </c>
      <c r="C176" s="41">
        <v>50</v>
      </c>
      <c r="D176" s="184">
        <f>5.7*C176/100</f>
        <v>2.85</v>
      </c>
      <c r="E176" s="184">
        <f>20.3*C176/100</f>
        <v>10.15</v>
      </c>
      <c r="F176" s="184">
        <f>57.3*C176/100</f>
        <v>28.65</v>
      </c>
      <c r="G176" s="184">
        <f>430.7*C176/100</f>
        <v>215.35</v>
      </c>
      <c r="H176" s="42">
        <f>0.12*C176/100</f>
        <v>0.06</v>
      </c>
      <c r="I176" s="42">
        <f>0*C176/100</f>
        <v>0</v>
      </c>
      <c r="J176" s="42">
        <f>0.13*C176/100</f>
        <v>6.5000000000000002E-2</v>
      </c>
      <c r="K176" s="42">
        <f>5.55*C176/100</f>
        <v>2.7749999999999999</v>
      </c>
      <c r="L176" s="48">
        <f>44.66*C176/100</f>
        <v>22.33</v>
      </c>
      <c r="M176" s="48">
        <f>148.03*C176/100</f>
        <v>74.015000000000001</v>
      </c>
      <c r="N176" s="48">
        <f>21.6*C176/100</f>
        <v>10.8</v>
      </c>
      <c r="O176" s="42">
        <v>0.7</v>
      </c>
      <c r="P176" s="49">
        <v>0.03</v>
      </c>
      <c r="Q176" s="49">
        <v>0.83</v>
      </c>
      <c r="R176" s="37"/>
      <c r="S176" s="67">
        <v>170603</v>
      </c>
    </row>
    <row r="177" spans="1:24" s="4" customFormat="1" x14ac:dyDescent="0.3">
      <c r="A177" s="49"/>
      <c r="B177" s="219" t="s">
        <v>4</v>
      </c>
      <c r="C177" s="109"/>
      <c r="D177" s="172">
        <f t="shared" ref="D177:Q177" si="28">SUM(D175:D176)</f>
        <v>8.85</v>
      </c>
      <c r="E177" s="172">
        <f t="shared" si="28"/>
        <v>16.55</v>
      </c>
      <c r="F177" s="172">
        <f t="shared" si="28"/>
        <v>38.049999999999997</v>
      </c>
      <c r="G177" s="172">
        <f t="shared" si="28"/>
        <v>335.35</v>
      </c>
      <c r="H177" s="172">
        <f t="shared" si="28"/>
        <v>0.42</v>
      </c>
      <c r="I177" s="172">
        <f t="shared" si="28"/>
        <v>20</v>
      </c>
      <c r="J177" s="172">
        <f t="shared" si="28"/>
        <v>6.5000000000000002E-2</v>
      </c>
      <c r="K177" s="172">
        <f t="shared" si="28"/>
        <v>2.7749999999999999</v>
      </c>
      <c r="L177" s="172">
        <f t="shared" si="28"/>
        <v>22.33</v>
      </c>
      <c r="M177" s="172">
        <f t="shared" si="28"/>
        <v>74.015000000000001</v>
      </c>
      <c r="N177" s="172">
        <f t="shared" si="28"/>
        <v>10.8</v>
      </c>
      <c r="O177" s="172">
        <f t="shared" si="28"/>
        <v>0.7</v>
      </c>
      <c r="P177" s="192">
        <f t="shared" si="28"/>
        <v>0.03</v>
      </c>
      <c r="Q177" s="192">
        <f t="shared" si="28"/>
        <v>18.829999999999998</v>
      </c>
      <c r="R177" s="122"/>
      <c r="S177" s="122"/>
    </row>
    <row r="178" spans="1:24" s="4" customFormat="1" x14ac:dyDescent="0.25">
      <c r="A178" s="49"/>
      <c r="B178" s="218" t="s">
        <v>7</v>
      </c>
      <c r="C178" s="120"/>
      <c r="D178" s="170">
        <f t="shared" ref="D178:I178" si="29">D163+D173+D177</f>
        <v>48.467500000000001</v>
      </c>
      <c r="E178" s="170">
        <f t="shared" si="29"/>
        <v>62.698499999999996</v>
      </c>
      <c r="F178" s="170">
        <f t="shared" si="29"/>
        <v>230.07100000000003</v>
      </c>
      <c r="G178" s="170">
        <f t="shared" si="29"/>
        <v>1700.1689999999999</v>
      </c>
      <c r="H178" s="170">
        <f t="shared" si="29"/>
        <v>1.0389999999999999</v>
      </c>
      <c r="I178" s="170">
        <f t="shared" si="29"/>
        <v>63.670999999999999</v>
      </c>
      <c r="J178" s="170">
        <v>0.21</v>
      </c>
      <c r="K178" s="170">
        <f t="shared" ref="K178:Q178" si="30">K163+K173+K177</f>
        <v>9.1809999999999992</v>
      </c>
      <c r="L178" s="170">
        <f t="shared" si="30"/>
        <v>403.23899999999998</v>
      </c>
      <c r="M178" s="170">
        <f t="shared" si="30"/>
        <v>656.601</v>
      </c>
      <c r="N178" s="170">
        <f t="shared" si="30"/>
        <v>159.91200000000003</v>
      </c>
      <c r="O178" s="170">
        <f t="shared" si="30"/>
        <v>8.2929999999999993</v>
      </c>
      <c r="P178" s="170">
        <f t="shared" si="30"/>
        <v>0.65250000000000008</v>
      </c>
      <c r="Q178" s="170">
        <f t="shared" si="30"/>
        <v>32.9405</v>
      </c>
      <c r="R178" s="122"/>
      <c r="S178" s="122"/>
    </row>
    <row r="179" spans="1:24" s="4" customFormat="1" ht="19.5" customHeight="1" thickBot="1" x14ac:dyDescent="0.3">
      <c r="A179" s="344" t="s">
        <v>48</v>
      </c>
      <c r="B179" s="345"/>
      <c r="C179" s="345"/>
      <c r="D179" s="345"/>
      <c r="E179" s="345"/>
      <c r="F179" s="345"/>
      <c r="G179" s="345"/>
      <c r="H179" s="345"/>
      <c r="I179" s="345"/>
      <c r="J179" s="345"/>
      <c r="K179" s="345"/>
      <c r="L179" s="345"/>
      <c r="M179" s="345"/>
      <c r="N179" s="345"/>
      <c r="O179" s="345"/>
      <c r="P179" s="345"/>
      <c r="Q179" s="345"/>
      <c r="R179" s="345"/>
      <c r="S179" s="348"/>
    </row>
    <row r="180" spans="1:24" s="4" customFormat="1" ht="19.5" customHeight="1" x14ac:dyDescent="0.25">
      <c r="A180" s="300" t="s">
        <v>3</v>
      </c>
      <c r="B180" s="301"/>
      <c r="C180" s="301"/>
      <c r="D180" s="301"/>
      <c r="E180" s="301"/>
      <c r="F180" s="301"/>
      <c r="G180" s="301"/>
      <c r="H180" s="301"/>
      <c r="I180" s="301"/>
      <c r="J180" s="301"/>
      <c r="K180" s="301"/>
      <c r="L180" s="301"/>
      <c r="M180" s="301"/>
      <c r="N180" s="301"/>
      <c r="O180" s="301"/>
      <c r="P180" s="301"/>
      <c r="Q180" s="301"/>
      <c r="R180" s="301"/>
      <c r="S180" s="347"/>
    </row>
    <row r="181" spans="1:24" s="63" customFormat="1" x14ac:dyDescent="0.2">
      <c r="A181" s="49">
        <v>1</v>
      </c>
      <c r="B181" s="47" t="s">
        <v>213</v>
      </c>
      <c r="C181" s="41">
        <v>150</v>
      </c>
      <c r="D181" s="42">
        <f>8.08*C181/100</f>
        <v>12.12</v>
      </c>
      <c r="E181" s="42">
        <f>9.12*C181/100</f>
        <v>13.679999999999998</v>
      </c>
      <c r="F181" s="42">
        <f>1.44*C181/100</f>
        <v>2.16</v>
      </c>
      <c r="G181" s="42">
        <f>119.71*C181/100</f>
        <v>179.565</v>
      </c>
      <c r="H181" s="42">
        <f>0.05*C181/100</f>
        <v>7.4999999999999997E-2</v>
      </c>
      <c r="I181" s="42">
        <f>1.5*C181/100</f>
        <v>2.25</v>
      </c>
      <c r="J181" s="42">
        <f>0*C181/100</f>
        <v>0</v>
      </c>
      <c r="K181" s="42">
        <f>0*C181/100</f>
        <v>0</v>
      </c>
      <c r="L181" s="48">
        <f>0.48*C181/100</f>
        <v>0.72</v>
      </c>
      <c r="M181" s="48">
        <f>0.6*C181/100</f>
        <v>0.9</v>
      </c>
      <c r="N181" s="48">
        <f>0*C181/100</f>
        <v>0</v>
      </c>
      <c r="O181" s="42">
        <f>0*C181/100</f>
        <v>0</v>
      </c>
      <c r="P181" s="49">
        <v>0</v>
      </c>
      <c r="Q181" s="49">
        <v>3.5</v>
      </c>
      <c r="R181" s="67">
        <v>120301</v>
      </c>
      <c r="S181" s="67"/>
    </row>
    <row r="182" spans="1:24" s="63" customFormat="1" x14ac:dyDescent="0.2">
      <c r="A182" s="49">
        <v>2</v>
      </c>
      <c r="B182" s="47" t="s">
        <v>31</v>
      </c>
      <c r="C182" s="59">
        <v>200</v>
      </c>
      <c r="D182" s="60">
        <v>0</v>
      </c>
      <c r="E182" s="60">
        <v>0</v>
      </c>
      <c r="F182" s="60">
        <f>4.99*C182/100</f>
        <v>9.98</v>
      </c>
      <c r="G182" s="42">
        <f>19.95*C182/100</f>
        <v>39.9</v>
      </c>
      <c r="H182" s="42">
        <v>0</v>
      </c>
      <c r="I182" s="42">
        <v>0</v>
      </c>
      <c r="J182" s="42">
        <v>0</v>
      </c>
      <c r="K182" s="42">
        <v>0</v>
      </c>
      <c r="L182" s="48">
        <f>8.15*C182/100</f>
        <v>16.3</v>
      </c>
      <c r="M182" s="48">
        <f>0.02*C182/100</f>
        <v>0.04</v>
      </c>
      <c r="N182" s="48">
        <f>1.79*C182/100</f>
        <v>3.58</v>
      </c>
      <c r="O182" s="42">
        <f>0.02*C182/100</f>
        <v>0.04</v>
      </c>
      <c r="P182" s="49">
        <f>0.01*C182/100</f>
        <v>0.02</v>
      </c>
      <c r="Q182" s="49">
        <v>0.48</v>
      </c>
      <c r="R182" s="67">
        <v>160105</v>
      </c>
      <c r="S182" s="67"/>
    </row>
    <row r="183" spans="1:24" s="52" customFormat="1" x14ac:dyDescent="0.2">
      <c r="A183" s="49">
        <v>3</v>
      </c>
      <c r="B183" s="47" t="s">
        <v>239</v>
      </c>
      <c r="C183" s="41">
        <v>30</v>
      </c>
      <c r="D183" s="171">
        <f>10*C183/100</f>
        <v>3</v>
      </c>
      <c r="E183" s="171">
        <f>8*C183/100</f>
        <v>2.4</v>
      </c>
      <c r="F183" s="171">
        <f>9*C183/100</f>
        <v>2.7</v>
      </c>
      <c r="G183" s="171">
        <f>148*C183/100</f>
        <v>44.4</v>
      </c>
      <c r="H183" s="42">
        <v>0</v>
      </c>
      <c r="I183" s="42">
        <v>0</v>
      </c>
      <c r="J183" s="42">
        <v>0</v>
      </c>
      <c r="K183" s="42">
        <v>0</v>
      </c>
      <c r="L183" s="48">
        <f>22*C183/100</f>
        <v>6.6</v>
      </c>
      <c r="M183" s="48">
        <f>268*C183/100</f>
        <v>80.400000000000006</v>
      </c>
      <c r="N183" s="48">
        <f>35*C183/100</f>
        <v>10.5</v>
      </c>
      <c r="O183" s="42">
        <f>2.6*C183/100</f>
        <v>0.78</v>
      </c>
      <c r="P183" s="49">
        <v>0</v>
      </c>
      <c r="Q183" s="49">
        <v>0</v>
      </c>
      <c r="R183" s="67">
        <v>100101</v>
      </c>
      <c r="S183" s="67"/>
    </row>
    <row r="184" spans="1:24" s="63" customFormat="1" ht="37.5" x14ac:dyDescent="0.2">
      <c r="A184" s="49">
        <v>4</v>
      </c>
      <c r="B184" s="47" t="s">
        <v>164</v>
      </c>
      <c r="C184" s="41">
        <v>10</v>
      </c>
      <c r="D184" s="42">
        <f>0.5*C184/100</f>
        <v>0.05</v>
      </c>
      <c r="E184" s="42">
        <f>82.5*C184/100</f>
        <v>8.25</v>
      </c>
      <c r="F184" s="42">
        <f>0.8*C184/100</f>
        <v>0.08</v>
      </c>
      <c r="G184" s="42">
        <f>748*C184/100</f>
        <v>74.8</v>
      </c>
      <c r="H184" s="42">
        <v>0</v>
      </c>
      <c r="I184" s="42">
        <v>0</v>
      </c>
      <c r="J184" s="42">
        <f>0.4*C184/100</f>
        <v>0.04</v>
      </c>
      <c r="K184" s="42">
        <f>1*C184/100</f>
        <v>0.1</v>
      </c>
      <c r="L184" s="48">
        <f>12*C184/100</f>
        <v>1.2</v>
      </c>
      <c r="M184" s="48">
        <f>19*C184/100</f>
        <v>1.9</v>
      </c>
      <c r="N184" s="48">
        <f>0*C184/100</f>
        <v>0</v>
      </c>
      <c r="O184" s="42">
        <f>0.2*C184/100</f>
        <v>0.02</v>
      </c>
      <c r="P184" s="56">
        <f>0.1*C184/100</f>
        <v>0.01</v>
      </c>
      <c r="Q184" s="49">
        <v>0</v>
      </c>
      <c r="R184" s="67"/>
      <c r="S184" s="67"/>
    </row>
    <row r="185" spans="1:24" s="63" customFormat="1" x14ac:dyDescent="0.2">
      <c r="A185" s="49">
        <v>5</v>
      </c>
      <c r="B185" s="47" t="s">
        <v>160</v>
      </c>
      <c r="C185" s="41">
        <v>20</v>
      </c>
      <c r="D185" s="42">
        <f>7.76*C185/100</f>
        <v>1.5519999999999998</v>
      </c>
      <c r="E185" s="42">
        <f>2.65*C185/100</f>
        <v>0.53</v>
      </c>
      <c r="F185" s="42">
        <f>53.25*C185/100</f>
        <v>10.65</v>
      </c>
      <c r="G185" s="42">
        <f>273*C185/100</f>
        <v>54.6</v>
      </c>
      <c r="H185" s="42">
        <f>0.34*C185/100</f>
        <v>6.8000000000000005E-2</v>
      </c>
      <c r="I185" s="42">
        <f>0*C185/100</f>
        <v>0</v>
      </c>
      <c r="J185" s="42">
        <v>0</v>
      </c>
      <c r="K185" s="42">
        <f>1.5*C185/100</f>
        <v>0.3</v>
      </c>
      <c r="L185" s="48">
        <f>148.1*C185/100</f>
        <v>29.62</v>
      </c>
      <c r="M185" s="48">
        <f>0*C185/100</f>
        <v>0</v>
      </c>
      <c r="N185" s="48">
        <f>16*C185/100</f>
        <v>3.2</v>
      </c>
      <c r="O185" s="42">
        <f>2.4*C185/100</f>
        <v>0.48</v>
      </c>
      <c r="P185" s="56">
        <f>0.2*C185/100</f>
        <v>0.04</v>
      </c>
      <c r="Q185" s="56">
        <f>1.5*C185/100</f>
        <v>0.3</v>
      </c>
      <c r="R185" s="67">
        <v>200102</v>
      </c>
      <c r="S185" s="67"/>
    </row>
    <row r="186" spans="1:24" s="249" customFormat="1" x14ac:dyDescent="0.25">
      <c r="A186" s="49">
        <v>6</v>
      </c>
      <c r="B186" s="47" t="s">
        <v>275</v>
      </c>
      <c r="C186" s="41" t="s">
        <v>274</v>
      </c>
      <c r="D186" s="42">
        <v>0.3</v>
      </c>
      <c r="E186" s="42">
        <v>0</v>
      </c>
      <c r="F186" s="42">
        <v>27.9</v>
      </c>
      <c r="G186" s="42">
        <v>112.8</v>
      </c>
      <c r="H186" s="42">
        <v>0</v>
      </c>
      <c r="I186" s="42">
        <v>0</v>
      </c>
      <c r="J186" s="42">
        <v>0</v>
      </c>
      <c r="K186" s="49">
        <v>0</v>
      </c>
      <c r="L186" s="47">
        <v>0</v>
      </c>
      <c r="M186" s="41">
        <v>0</v>
      </c>
      <c r="N186" s="42">
        <v>0</v>
      </c>
      <c r="O186" s="42">
        <v>0</v>
      </c>
      <c r="P186" s="42">
        <v>0</v>
      </c>
      <c r="Q186" s="42">
        <v>0</v>
      </c>
      <c r="R186" s="42"/>
      <c r="S186" s="250"/>
    </row>
    <row r="187" spans="1:24" s="4" customFormat="1" x14ac:dyDescent="0.25">
      <c r="A187" s="49"/>
      <c r="B187" s="218" t="s">
        <v>4</v>
      </c>
      <c r="C187" s="120"/>
      <c r="D187" s="172">
        <f t="shared" ref="D187:Q187" si="31">SUM(D181:D186)</f>
        <v>17.022000000000002</v>
      </c>
      <c r="E187" s="172">
        <f t="shared" si="31"/>
        <v>24.86</v>
      </c>
      <c r="F187" s="172">
        <f t="shared" si="31"/>
        <v>53.47</v>
      </c>
      <c r="G187" s="172">
        <f t="shared" si="31"/>
        <v>506.06500000000005</v>
      </c>
      <c r="H187" s="172">
        <f t="shared" si="31"/>
        <v>0.14300000000000002</v>
      </c>
      <c r="I187" s="172">
        <f t="shared" si="31"/>
        <v>2.25</v>
      </c>
      <c r="J187" s="172">
        <f t="shared" si="31"/>
        <v>0.04</v>
      </c>
      <c r="K187" s="172">
        <f t="shared" si="31"/>
        <v>0.4</v>
      </c>
      <c r="L187" s="172">
        <f t="shared" si="31"/>
        <v>54.44</v>
      </c>
      <c r="M187" s="172">
        <f t="shared" si="31"/>
        <v>83.240000000000009</v>
      </c>
      <c r="N187" s="172">
        <f t="shared" si="31"/>
        <v>17.28</v>
      </c>
      <c r="O187" s="172">
        <f t="shared" si="31"/>
        <v>1.32</v>
      </c>
      <c r="P187" s="172">
        <f t="shared" si="31"/>
        <v>7.0000000000000007E-2</v>
      </c>
      <c r="Q187" s="172">
        <f t="shared" si="31"/>
        <v>4.28</v>
      </c>
      <c r="R187" s="122"/>
      <c r="S187" s="122"/>
    </row>
    <row r="188" spans="1:24" s="4" customFormat="1" x14ac:dyDescent="0.25">
      <c r="A188" s="300" t="s">
        <v>5</v>
      </c>
      <c r="B188" s="301"/>
      <c r="C188" s="301"/>
      <c r="D188" s="301"/>
      <c r="E188" s="301"/>
      <c r="F188" s="301"/>
      <c r="G188" s="301"/>
      <c r="H188" s="301"/>
      <c r="I188" s="301"/>
      <c r="J188" s="301"/>
      <c r="K188" s="301"/>
      <c r="L188" s="301"/>
      <c r="M188" s="301"/>
      <c r="N188" s="301"/>
      <c r="O188" s="301"/>
      <c r="P188" s="301"/>
      <c r="Q188" s="301"/>
      <c r="R188" s="301"/>
      <c r="S188" s="347"/>
    </row>
    <row r="189" spans="1:24" s="63" customFormat="1" x14ac:dyDescent="0.2">
      <c r="A189" s="49">
        <v>1</v>
      </c>
      <c r="B189" s="47" t="s">
        <v>152</v>
      </c>
      <c r="C189" s="41">
        <v>60</v>
      </c>
      <c r="D189" s="42">
        <f>12.38*C189/100</f>
        <v>7.4280000000000008</v>
      </c>
      <c r="E189" s="42">
        <f>13.07*C189/100</f>
        <v>7.8420000000000005</v>
      </c>
      <c r="F189" s="42">
        <f>1.8*C189/100</f>
        <v>1.08</v>
      </c>
      <c r="G189" s="42">
        <f>174.9*C189/100</f>
        <v>104.94</v>
      </c>
      <c r="H189" s="42">
        <f>0.03*C189/100</f>
        <v>1.7999999999999999E-2</v>
      </c>
      <c r="I189" s="42">
        <f>2.2*C189/100</f>
        <v>1.32</v>
      </c>
      <c r="J189" s="42">
        <f>0.01*C189/100</f>
        <v>6.0000000000000001E-3</v>
      </c>
      <c r="K189" s="42">
        <f>1.24*C189/100</f>
        <v>0.74400000000000011</v>
      </c>
      <c r="L189" s="42">
        <f>63.62*C189/100</f>
        <v>38.171999999999997</v>
      </c>
      <c r="M189" s="42">
        <f>204.6*C189/100</f>
        <v>122.76</v>
      </c>
      <c r="N189" s="42">
        <f>31.48*C189/100</f>
        <v>18.887999999999998</v>
      </c>
      <c r="O189" s="42">
        <f>0.96*C189/100</f>
        <v>0.57599999999999996</v>
      </c>
      <c r="P189" s="49">
        <f>0.1*C189/100</f>
        <v>0.06</v>
      </c>
      <c r="Q189" s="49">
        <f>36.63*C189/100</f>
        <v>21.978000000000002</v>
      </c>
      <c r="R189" s="177">
        <v>100601</v>
      </c>
      <c r="S189" s="67"/>
    </row>
    <row r="190" spans="1:24" s="64" customFormat="1" x14ac:dyDescent="0.3">
      <c r="A190" s="49">
        <v>2</v>
      </c>
      <c r="B190" s="47" t="s">
        <v>229</v>
      </c>
      <c r="C190" s="41">
        <v>250</v>
      </c>
      <c r="D190" s="42">
        <f>0.6*C190/100</f>
        <v>1.5</v>
      </c>
      <c r="E190" s="42">
        <f>1.7*C190/100</f>
        <v>4.25</v>
      </c>
      <c r="F190" s="42">
        <f>3.9*C190/100</f>
        <v>9.75</v>
      </c>
      <c r="G190" s="42">
        <f>33.3*C190/100</f>
        <v>83.25</v>
      </c>
      <c r="H190" s="42">
        <f>0.04*C190/100</f>
        <v>0.1</v>
      </c>
      <c r="I190" s="42">
        <f>4.46*C190/100</f>
        <v>11.15</v>
      </c>
      <c r="J190" s="42">
        <f>0.01*C190/100</f>
        <v>2.5000000000000001E-2</v>
      </c>
      <c r="K190" s="42">
        <f>0.17*C190/100</f>
        <v>0.42499999999999999</v>
      </c>
      <c r="L190" s="42">
        <f>15.65*C190/100</f>
        <v>39.125</v>
      </c>
      <c r="M190" s="42">
        <f>25.12*C190/100</f>
        <v>62.8</v>
      </c>
      <c r="N190" s="42">
        <f>11.62*C190/100</f>
        <v>29.05</v>
      </c>
      <c r="O190" s="42">
        <f>0.41*C190/100</f>
        <v>1.0249999999999999</v>
      </c>
      <c r="P190" s="55">
        <f>0.03*C190/100</f>
        <v>7.4999999999999997E-2</v>
      </c>
      <c r="Q190" s="55">
        <v>0</v>
      </c>
      <c r="R190" s="122">
        <v>110324</v>
      </c>
      <c r="S190" s="131">
        <v>110325</v>
      </c>
      <c r="T190" s="71"/>
      <c r="U190" s="71"/>
      <c r="V190" s="71"/>
      <c r="W190" s="71"/>
      <c r="X190" s="71"/>
    </row>
    <row r="191" spans="1:24" s="63" customFormat="1" x14ac:dyDescent="0.2">
      <c r="A191" s="49">
        <v>3</v>
      </c>
      <c r="B191" s="47" t="s">
        <v>201</v>
      </c>
      <c r="C191" s="41">
        <v>100</v>
      </c>
      <c r="D191" s="42">
        <f>23*C191/100</f>
        <v>23</v>
      </c>
      <c r="E191" s="42">
        <f>14.9*C191/100</f>
        <v>14.9</v>
      </c>
      <c r="F191" s="42">
        <f>2.3*C191/100</f>
        <v>2.2999999999999998</v>
      </c>
      <c r="G191" s="42">
        <f>235.3*C191/100</f>
        <v>235.3</v>
      </c>
      <c r="H191" s="42">
        <f>0.08*C191/100</f>
        <v>0.08</v>
      </c>
      <c r="I191" s="42">
        <f>0*C191/100</f>
        <v>0</v>
      </c>
      <c r="J191" s="42">
        <f>0*C191/100</f>
        <v>0</v>
      </c>
      <c r="K191" s="42">
        <f>0.03*C191/100</f>
        <v>0.03</v>
      </c>
      <c r="L191" s="48">
        <f>21.6*C191/100</f>
        <v>21.6</v>
      </c>
      <c r="M191" s="48">
        <f>232.26*C191/100</f>
        <v>232.26</v>
      </c>
      <c r="N191" s="48">
        <f>32.27*C191/100</f>
        <v>32.270000000000003</v>
      </c>
      <c r="O191" s="42">
        <f>2.35*C191/100</f>
        <v>2.35</v>
      </c>
      <c r="P191" s="49">
        <f>0.2*C191/100</f>
        <v>0.2</v>
      </c>
      <c r="Q191" s="49">
        <v>3.25</v>
      </c>
      <c r="R191" s="67">
        <v>120509</v>
      </c>
      <c r="S191" s="67">
        <v>120510</v>
      </c>
    </row>
    <row r="192" spans="1:24" s="63" customFormat="1" x14ac:dyDescent="0.2">
      <c r="A192" s="49">
        <v>4</v>
      </c>
      <c r="B192" s="47" t="s">
        <v>118</v>
      </c>
      <c r="C192" s="41">
        <v>30</v>
      </c>
      <c r="D192" s="42">
        <f>0.6*C192/100</f>
        <v>0.18</v>
      </c>
      <c r="E192" s="42">
        <f>4.4*C192/100</f>
        <v>1.32</v>
      </c>
      <c r="F192" s="42">
        <f>6.6*C192/100</f>
        <v>1.98</v>
      </c>
      <c r="G192" s="42">
        <f>68.4*C192/100</f>
        <v>20.52</v>
      </c>
      <c r="H192" s="42">
        <f>0.3*C192/100</f>
        <v>0.09</v>
      </c>
      <c r="I192" s="42">
        <f>15*C192/100</f>
        <v>4.5</v>
      </c>
      <c r="J192" s="42">
        <f>0.35*C192/100</f>
        <v>0.105</v>
      </c>
      <c r="K192" s="42">
        <f>0*C192/100</f>
        <v>0</v>
      </c>
      <c r="L192" s="48">
        <v>0</v>
      </c>
      <c r="M192" s="48">
        <v>0</v>
      </c>
      <c r="N192" s="48">
        <v>0</v>
      </c>
      <c r="O192" s="42">
        <v>0</v>
      </c>
      <c r="P192" s="49">
        <f>0.3*C192/100</f>
        <v>0.09</v>
      </c>
      <c r="Q192" s="49">
        <f>1.3*C192/100</f>
        <v>0.39</v>
      </c>
      <c r="R192" s="67">
        <v>140101</v>
      </c>
      <c r="S192" s="183">
        <v>140102</v>
      </c>
    </row>
    <row r="193" spans="1:19" s="64" customFormat="1" ht="18.75" customHeight="1" x14ac:dyDescent="0.25">
      <c r="A193" s="49">
        <v>5</v>
      </c>
      <c r="B193" s="47" t="s">
        <v>114</v>
      </c>
      <c r="C193" s="41">
        <v>150</v>
      </c>
      <c r="D193" s="42">
        <f>3.1*C193/100</f>
        <v>4.6500000000000004</v>
      </c>
      <c r="E193" s="42">
        <f>2.8*C193/100</f>
        <v>4.2</v>
      </c>
      <c r="F193" s="42">
        <f>30.3*C193/100</f>
        <v>45.45</v>
      </c>
      <c r="G193" s="42">
        <f>166.8*C193/100</f>
        <v>250.2</v>
      </c>
      <c r="H193" s="42">
        <f>0.04*C193/100</f>
        <v>0.06</v>
      </c>
      <c r="I193" s="42">
        <f>0*C193/100</f>
        <v>0</v>
      </c>
      <c r="J193" s="42">
        <f>0.02*C193/100</f>
        <v>0.03</v>
      </c>
      <c r="K193" s="42">
        <f>0.05*C193/100</f>
        <v>7.4999999999999997E-2</v>
      </c>
      <c r="L193" s="48">
        <f>3.95*C193/100</f>
        <v>5.9249999999999998</v>
      </c>
      <c r="M193" s="48">
        <f>23.34*C193/100</f>
        <v>35.01</v>
      </c>
      <c r="N193" s="48">
        <f>5.12*C193/100</f>
        <v>7.68</v>
      </c>
      <c r="O193" s="42">
        <f>0.5*C193/100</f>
        <v>0.75</v>
      </c>
      <c r="P193" s="49">
        <f>0.01*C193/100</f>
        <v>1.4999999999999999E-2</v>
      </c>
      <c r="Q193" s="49">
        <f>1.5*C193/100</f>
        <v>2.25</v>
      </c>
      <c r="R193" s="122">
        <v>130401</v>
      </c>
      <c r="S193" s="122">
        <v>130402</v>
      </c>
    </row>
    <row r="194" spans="1:19" s="52" customFormat="1" ht="37.5" x14ac:dyDescent="0.2">
      <c r="A194" s="49">
        <v>6</v>
      </c>
      <c r="B194" s="47" t="s">
        <v>135</v>
      </c>
      <c r="C194" s="41">
        <v>200</v>
      </c>
      <c r="D194" s="42">
        <f>0.11*C194/100</f>
        <v>0.22</v>
      </c>
      <c r="E194" s="42">
        <f>0.04*C194/100</f>
        <v>0.08</v>
      </c>
      <c r="F194" s="42">
        <f>8.74*C194/100</f>
        <v>17.48</v>
      </c>
      <c r="G194" s="42">
        <f>26.78*C194/100</f>
        <v>53.56</v>
      </c>
      <c r="H194" s="42">
        <f>0*C194/100</f>
        <v>0</v>
      </c>
      <c r="I194" s="42">
        <f>22*C194/100</f>
        <v>44</v>
      </c>
      <c r="J194" s="42">
        <f>0*C194/100</f>
        <v>0</v>
      </c>
      <c r="K194" s="42">
        <f>0.08*C194/100</f>
        <v>0.16</v>
      </c>
      <c r="L194" s="48">
        <f>8.18*C194/100</f>
        <v>16.36</v>
      </c>
      <c r="M194" s="48">
        <f>3.63*C194/100</f>
        <v>7.26</v>
      </c>
      <c r="N194" s="48">
        <f>4.31*C194/100</f>
        <v>8.6199999999999992</v>
      </c>
      <c r="O194" s="42">
        <f>0.16*C194/100</f>
        <v>0.32</v>
      </c>
      <c r="P194" s="62">
        <v>0</v>
      </c>
      <c r="Q194" s="62">
        <v>2.3199999999999998</v>
      </c>
      <c r="R194" s="67">
        <v>160207</v>
      </c>
      <c r="S194" s="67"/>
    </row>
    <row r="195" spans="1:19" s="63" customFormat="1" x14ac:dyDescent="0.2">
      <c r="A195" s="49">
        <v>7</v>
      </c>
      <c r="B195" s="47" t="s">
        <v>160</v>
      </c>
      <c r="C195" s="41">
        <v>40</v>
      </c>
      <c r="D195" s="42">
        <f>7.76*C195/100</f>
        <v>3.1039999999999996</v>
      </c>
      <c r="E195" s="42">
        <f>2.65*C195/100</f>
        <v>1.06</v>
      </c>
      <c r="F195" s="42">
        <f>53.25*C195/100</f>
        <v>21.3</v>
      </c>
      <c r="G195" s="42">
        <f>273*C195/100</f>
        <v>109.2</v>
      </c>
      <c r="H195" s="42">
        <f>0.34*C195/100</f>
        <v>0.13600000000000001</v>
      </c>
      <c r="I195" s="42">
        <f>0*C195/100</f>
        <v>0</v>
      </c>
      <c r="J195" s="42">
        <v>0</v>
      </c>
      <c r="K195" s="42">
        <f>1.5*C195/100</f>
        <v>0.6</v>
      </c>
      <c r="L195" s="48">
        <f>148.1*C195/100</f>
        <v>59.24</v>
      </c>
      <c r="M195" s="48">
        <f>0*C195/100</f>
        <v>0</v>
      </c>
      <c r="N195" s="48">
        <f>16*C195/100</f>
        <v>6.4</v>
      </c>
      <c r="O195" s="42">
        <f>2.4*C195/100</f>
        <v>0.96</v>
      </c>
      <c r="P195" s="56">
        <f>0.2*C195/100</f>
        <v>0.08</v>
      </c>
      <c r="Q195" s="56">
        <f>1.5*C195/100</f>
        <v>0.6</v>
      </c>
      <c r="R195" s="67">
        <v>200102</v>
      </c>
      <c r="S195" s="67"/>
    </row>
    <row r="196" spans="1:19" s="63" customFormat="1" x14ac:dyDescent="0.2">
      <c r="A196" s="49">
        <v>8</v>
      </c>
      <c r="B196" s="47" t="s">
        <v>222</v>
      </c>
      <c r="C196" s="41">
        <v>40</v>
      </c>
      <c r="D196" s="42">
        <f>9.4*C196/100</f>
        <v>3.76</v>
      </c>
      <c r="E196" s="42">
        <f>5.8*C196/100</f>
        <v>2.3199999999999998</v>
      </c>
      <c r="F196" s="42">
        <f>52.7*C196/100</f>
        <v>21.08</v>
      </c>
      <c r="G196" s="42">
        <f>300.6*C196/100</f>
        <v>120.24</v>
      </c>
      <c r="H196" s="42">
        <f>0.4*C196/100</f>
        <v>0.16</v>
      </c>
      <c r="I196" s="42">
        <f>0.03*C196/100</f>
        <v>1.2E-2</v>
      </c>
      <c r="J196" s="42">
        <v>0</v>
      </c>
      <c r="K196" s="42">
        <f>1.7*C196/100</f>
        <v>0.68</v>
      </c>
      <c r="L196" s="48">
        <f>25.4*C196/100</f>
        <v>10.16</v>
      </c>
      <c r="M196" s="48">
        <f>105.53*C196/100</f>
        <v>42.211999999999996</v>
      </c>
      <c r="N196" s="48">
        <f>36.5*C196/100</f>
        <v>14.6</v>
      </c>
      <c r="O196" s="42">
        <f>2.45*C196/100</f>
        <v>0.98</v>
      </c>
      <c r="P196" s="56">
        <f>0.2*C196/100</f>
        <v>0.08</v>
      </c>
      <c r="Q196" s="56">
        <v>0</v>
      </c>
      <c r="R196" s="67">
        <v>190101</v>
      </c>
      <c r="S196" s="67"/>
    </row>
    <row r="197" spans="1:19" s="4" customFormat="1" ht="18.75" customHeight="1" x14ac:dyDescent="0.25">
      <c r="A197" s="49"/>
      <c r="B197" s="218" t="s">
        <v>4</v>
      </c>
      <c r="C197" s="120"/>
      <c r="D197" s="170">
        <f t="shared" ref="D197:Q197" si="32">SUM(D189:D196)</f>
        <v>43.841999999999999</v>
      </c>
      <c r="E197" s="170">
        <f t="shared" si="32"/>
        <v>35.972000000000001</v>
      </c>
      <c r="F197" s="170">
        <f t="shared" si="32"/>
        <v>120.42</v>
      </c>
      <c r="G197" s="170">
        <f t="shared" si="32"/>
        <v>977.21</v>
      </c>
      <c r="H197" s="170">
        <f t="shared" si="32"/>
        <v>0.64400000000000002</v>
      </c>
      <c r="I197" s="170">
        <f t="shared" si="32"/>
        <v>60.981999999999999</v>
      </c>
      <c r="J197" s="170">
        <f t="shared" si="32"/>
        <v>0.16600000000000001</v>
      </c>
      <c r="K197" s="170">
        <f t="shared" si="32"/>
        <v>2.714</v>
      </c>
      <c r="L197" s="170">
        <f t="shared" si="32"/>
        <v>190.58199999999999</v>
      </c>
      <c r="M197" s="170">
        <f t="shared" si="32"/>
        <v>502.30199999999996</v>
      </c>
      <c r="N197" s="170">
        <f t="shared" si="32"/>
        <v>117.50800000000001</v>
      </c>
      <c r="O197" s="170">
        <f t="shared" si="32"/>
        <v>6.9610000000000003</v>
      </c>
      <c r="P197" s="170">
        <f t="shared" si="32"/>
        <v>0.6</v>
      </c>
      <c r="Q197" s="170">
        <f t="shared" si="32"/>
        <v>30.788000000000004</v>
      </c>
      <c r="R197" s="122"/>
      <c r="S197" s="122"/>
    </row>
    <row r="198" spans="1:19" s="4" customFormat="1" ht="18.75" customHeight="1" x14ac:dyDescent="0.25">
      <c r="A198" s="314" t="s">
        <v>35</v>
      </c>
      <c r="B198" s="315"/>
      <c r="C198" s="315"/>
      <c r="D198" s="315"/>
      <c r="E198" s="315"/>
      <c r="F198" s="315"/>
      <c r="G198" s="315"/>
      <c r="H198" s="315"/>
      <c r="I198" s="315"/>
      <c r="J198" s="315"/>
      <c r="K198" s="315"/>
      <c r="L198" s="315"/>
      <c r="M198" s="315"/>
      <c r="N198" s="315"/>
      <c r="O198" s="315"/>
      <c r="P198" s="315"/>
      <c r="Q198" s="315"/>
      <c r="R198" s="315"/>
      <c r="S198" s="343"/>
    </row>
    <row r="199" spans="1:19" s="63" customFormat="1" x14ac:dyDescent="0.2">
      <c r="A199" s="49">
        <v>1</v>
      </c>
      <c r="B199" s="47" t="s">
        <v>122</v>
      </c>
      <c r="C199" s="41">
        <v>200</v>
      </c>
      <c r="D199" s="94">
        <f>2.25*C199/100</f>
        <v>4.5</v>
      </c>
      <c r="E199" s="94">
        <f>2.24*C199/100</f>
        <v>4.4800000000000004</v>
      </c>
      <c r="F199" s="94">
        <f>10.25*C199/100</f>
        <v>20.5</v>
      </c>
      <c r="G199" s="94">
        <f>70.23*C199/100</f>
        <v>140.46</v>
      </c>
      <c r="H199" s="42">
        <f>0.13*C199/100</f>
        <v>0.26</v>
      </c>
      <c r="I199" s="42">
        <f>7*C199/100</f>
        <v>14</v>
      </c>
      <c r="J199" s="42">
        <f>0*C199/100</f>
        <v>0</v>
      </c>
      <c r="K199" s="42">
        <v>0</v>
      </c>
      <c r="L199" s="48">
        <f>1.55*C199/100</f>
        <v>3.1</v>
      </c>
      <c r="M199" s="48">
        <v>0</v>
      </c>
      <c r="N199" s="48">
        <f>0.3*C199/100</f>
        <v>0.6</v>
      </c>
      <c r="O199" s="42">
        <f>0.02*C199/100</f>
        <v>0.04</v>
      </c>
      <c r="P199" s="49">
        <v>0</v>
      </c>
      <c r="Q199" s="49">
        <v>3.58</v>
      </c>
      <c r="R199" s="67">
        <v>160104</v>
      </c>
      <c r="S199" s="67"/>
    </row>
    <row r="200" spans="1:19" s="63" customFormat="1" x14ac:dyDescent="0.2">
      <c r="A200" s="49">
        <v>2</v>
      </c>
      <c r="B200" s="47" t="s">
        <v>148</v>
      </c>
      <c r="C200" s="41">
        <v>50</v>
      </c>
      <c r="D200" s="94">
        <f>9.1*C200/100</f>
        <v>4.55</v>
      </c>
      <c r="E200" s="94">
        <f>3.9*C200/100</f>
        <v>1.95</v>
      </c>
      <c r="F200" s="94">
        <f>45*C200/100</f>
        <v>22.5</v>
      </c>
      <c r="G200" s="94">
        <f>255.1*C200/100</f>
        <v>127.55</v>
      </c>
      <c r="H200" s="42">
        <f>0.34*C200/100</f>
        <v>0.17</v>
      </c>
      <c r="I200" s="42">
        <f>0*C200/100</f>
        <v>0</v>
      </c>
      <c r="J200" s="42">
        <v>1</v>
      </c>
      <c r="K200" s="42">
        <f>1.5*C200/100</f>
        <v>0.75</v>
      </c>
      <c r="L200" s="48">
        <f>148.1*C200/100</f>
        <v>74.05</v>
      </c>
      <c r="M200" s="48">
        <f>0*C200/100</f>
        <v>0</v>
      </c>
      <c r="N200" s="48">
        <f>16*C200/100</f>
        <v>8</v>
      </c>
      <c r="O200" s="42">
        <f>2.4*C200/100</f>
        <v>1.2</v>
      </c>
      <c r="P200" s="56">
        <f>0.2*C200/100</f>
        <v>0.1</v>
      </c>
      <c r="Q200" s="56">
        <v>0</v>
      </c>
      <c r="R200" s="67"/>
      <c r="S200" s="67">
        <v>190216</v>
      </c>
    </row>
    <row r="201" spans="1:19" s="4" customFormat="1" ht="19.5" customHeight="1" x14ac:dyDescent="0.25">
      <c r="A201" s="49"/>
      <c r="B201" s="218" t="s">
        <v>4</v>
      </c>
      <c r="C201" s="120"/>
      <c r="D201" s="172">
        <f t="shared" ref="D201:Q201" si="33">SUM(D199:D200)</f>
        <v>9.0500000000000007</v>
      </c>
      <c r="E201" s="172">
        <f t="shared" si="33"/>
        <v>6.4300000000000006</v>
      </c>
      <c r="F201" s="172">
        <f t="shared" si="33"/>
        <v>43</v>
      </c>
      <c r="G201" s="172">
        <f t="shared" si="33"/>
        <v>268.01</v>
      </c>
      <c r="H201" s="172">
        <f t="shared" si="33"/>
        <v>0.43000000000000005</v>
      </c>
      <c r="I201" s="172">
        <f t="shared" si="33"/>
        <v>14</v>
      </c>
      <c r="J201" s="172">
        <f t="shared" si="33"/>
        <v>1</v>
      </c>
      <c r="K201" s="172">
        <f t="shared" si="33"/>
        <v>0.75</v>
      </c>
      <c r="L201" s="172">
        <f t="shared" si="33"/>
        <v>77.149999999999991</v>
      </c>
      <c r="M201" s="172">
        <f t="shared" si="33"/>
        <v>0</v>
      </c>
      <c r="N201" s="172">
        <f t="shared" si="33"/>
        <v>8.6</v>
      </c>
      <c r="O201" s="172">
        <f t="shared" si="33"/>
        <v>1.24</v>
      </c>
      <c r="P201" s="172">
        <f t="shared" si="33"/>
        <v>0.1</v>
      </c>
      <c r="Q201" s="172">
        <f t="shared" si="33"/>
        <v>3.58</v>
      </c>
      <c r="R201" s="122"/>
      <c r="S201" s="122"/>
    </row>
    <row r="202" spans="1:19" s="4" customFormat="1" x14ac:dyDescent="0.25">
      <c r="A202" s="49"/>
      <c r="B202" s="218" t="s">
        <v>7</v>
      </c>
      <c r="C202" s="120"/>
      <c r="D202" s="170">
        <f t="shared" ref="D202:Q202" si="34">D187+D197+D201</f>
        <v>69.914000000000001</v>
      </c>
      <c r="E202" s="170">
        <f t="shared" si="34"/>
        <v>67.262</v>
      </c>
      <c r="F202" s="170">
        <f t="shared" si="34"/>
        <v>216.89</v>
      </c>
      <c r="G202" s="170">
        <f t="shared" si="34"/>
        <v>1751.2850000000001</v>
      </c>
      <c r="H202" s="170">
        <f t="shared" si="34"/>
        <v>1.2170000000000001</v>
      </c>
      <c r="I202" s="170">
        <f t="shared" si="34"/>
        <v>77.231999999999999</v>
      </c>
      <c r="J202" s="170">
        <f t="shared" si="34"/>
        <v>1.206</v>
      </c>
      <c r="K202" s="170">
        <f t="shared" si="34"/>
        <v>3.8639999999999999</v>
      </c>
      <c r="L202" s="170">
        <f t="shared" si="34"/>
        <v>322.17199999999997</v>
      </c>
      <c r="M202" s="170">
        <f t="shared" si="34"/>
        <v>585.54199999999992</v>
      </c>
      <c r="N202" s="170">
        <f t="shared" si="34"/>
        <v>143.38800000000001</v>
      </c>
      <c r="O202" s="170">
        <f t="shared" si="34"/>
        <v>9.5210000000000008</v>
      </c>
      <c r="P202" s="170">
        <f t="shared" si="34"/>
        <v>0.76999999999999991</v>
      </c>
      <c r="Q202" s="170">
        <f t="shared" si="34"/>
        <v>38.648000000000003</v>
      </c>
      <c r="R202" s="122"/>
      <c r="S202" s="122"/>
    </row>
    <row r="203" spans="1:19" s="53" customFormat="1" ht="18.75" customHeight="1" thickBot="1" x14ac:dyDescent="0.3">
      <c r="A203" s="344" t="s">
        <v>66</v>
      </c>
      <c r="B203" s="345"/>
      <c r="C203" s="345"/>
      <c r="D203" s="345"/>
      <c r="E203" s="345"/>
      <c r="F203" s="345"/>
      <c r="G203" s="345"/>
      <c r="H203" s="345"/>
      <c r="I203" s="345"/>
      <c r="J203" s="345"/>
      <c r="K203" s="345"/>
      <c r="L203" s="345"/>
      <c r="M203" s="345"/>
      <c r="N203" s="345"/>
      <c r="O203" s="345"/>
      <c r="P203" s="345"/>
      <c r="Q203" s="345"/>
      <c r="R203" s="345"/>
      <c r="S203" s="348"/>
    </row>
    <row r="204" spans="1:19" s="4" customFormat="1" ht="19.5" customHeight="1" x14ac:dyDescent="0.25">
      <c r="A204" s="304" t="s">
        <v>3</v>
      </c>
      <c r="B204" s="305"/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305"/>
      <c r="O204" s="305"/>
      <c r="P204" s="305"/>
      <c r="Q204" s="305"/>
      <c r="R204" s="305"/>
      <c r="S204" s="346"/>
    </row>
    <row r="205" spans="1:19" s="63" customFormat="1" x14ac:dyDescent="0.2">
      <c r="A205" s="49">
        <v>1</v>
      </c>
      <c r="B205" s="47" t="s">
        <v>264</v>
      </c>
      <c r="C205" s="41">
        <v>150</v>
      </c>
      <c r="D205" s="94">
        <f>3*C205/100</f>
        <v>4.5</v>
      </c>
      <c r="E205" s="94">
        <f>5.47*C205/100</f>
        <v>8.2050000000000001</v>
      </c>
      <c r="F205" s="94">
        <f>16*C205/100</f>
        <v>24</v>
      </c>
      <c r="G205" s="94">
        <f>123.4*C205/100</f>
        <v>185.1</v>
      </c>
      <c r="H205" s="42">
        <f>0.12*C205/100</f>
        <v>0.18</v>
      </c>
      <c r="I205" s="42">
        <f>8.2*C205/100</f>
        <v>12.3</v>
      </c>
      <c r="J205" s="42">
        <f>0.04*C205/100</f>
        <v>0.06</v>
      </c>
      <c r="K205" s="42">
        <f>0.06*C205/100</f>
        <v>0.09</v>
      </c>
      <c r="L205" s="48">
        <f>99.98*C205/100</f>
        <v>149.97</v>
      </c>
      <c r="M205" s="48">
        <f>105*C205/100</f>
        <v>157.5</v>
      </c>
      <c r="N205" s="48">
        <f>22.36*C205/100</f>
        <v>33.54</v>
      </c>
      <c r="O205" s="42">
        <f>0.32*C205/100</f>
        <v>0.48</v>
      </c>
      <c r="P205" s="49">
        <f>0.11*C205/100</f>
        <v>0.16500000000000001</v>
      </c>
      <c r="Q205" s="49">
        <v>4.46</v>
      </c>
      <c r="R205" s="239">
        <v>120203</v>
      </c>
      <c r="S205" s="239">
        <v>120204</v>
      </c>
    </row>
    <row r="206" spans="1:19" s="63" customFormat="1" x14ac:dyDescent="0.2">
      <c r="A206" s="49">
        <v>2</v>
      </c>
      <c r="B206" s="47" t="s">
        <v>31</v>
      </c>
      <c r="C206" s="59">
        <v>200</v>
      </c>
      <c r="D206" s="60">
        <v>0</v>
      </c>
      <c r="E206" s="60">
        <v>0</v>
      </c>
      <c r="F206" s="60">
        <f>4.99*C206/100</f>
        <v>9.98</v>
      </c>
      <c r="G206" s="42">
        <f>19.95*C206/100</f>
        <v>39.9</v>
      </c>
      <c r="H206" s="42">
        <v>0</v>
      </c>
      <c r="I206" s="42">
        <v>0</v>
      </c>
      <c r="J206" s="42">
        <v>0</v>
      </c>
      <c r="K206" s="42">
        <v>0</v>
      </c>
      <c r="L206" s="48">
        <f>8.15*C206/100</f>
        <v>16.3</v>
      </c>
      <c r="M206" s="48">
        <f>0.02*C206/100</f>
        <v>0.04</v>
      </c>
      <c r="N206" s="48">
        <f>1.79*C206/100</f>
        <v>3.58</v>
      </c>
      <c r="O206" s="42">
        <f>0.02*C206/100</f>
        <v>0.04</v>
      </c>
      <c r="P206" s="49">
        <f>0.01*C206/100</f>
        <v>0.02</v>
      </c>
      <c r="Q206" s="49">
        <v>0.48</v>
      </c>
      <c r="R206" s="67">
        <v>160105</v>
      </c>
      <c r="S206" s="222"/>
    </row>
    <row r="207" spans="1:19" s="63" customFormat="1" x14ac:dyDescent="0.2">
      <c r="A207" s="49">
        <v>3</v>
      </c>
      <c r="B207" s="47" t="s">
        <v>160</v>
      </c>
      <c r="C207" s="41">
        <v>20</v>
      </c>
      <c r="D207" s="42">
        <f>7.76*C207/100</f>
        <v>1.5519999999999998</v>
      </c>
      <c r="E207" s="42">
        <f>2.65*C207/100</f>
        <v>0.53</v>
      </c>
      <c r="F207" s="42">
        <f>53.25*C207/100</f>
        <v>10.65</v>
      </c>
      <c r="G207" s="42">
        <f>273*C207/100</f>
        <v>54.6</v>
      </c>
      <c r="H207" s="42">
        <f>0.34*C207/100</f>
        <v>6.8000000000000005E-2</v>
      </c>
      <c r="I207" s="42">
        <f>0*C207/100</f>
        <v>0</v>
      </c>
      <c r="J207" s="42">
        <v>0</v>
      </c>
      <c r="K207" s="42">
        <f>1.5*C207/100</f>
        <v>0.3</v>
      </c>
      <c r="L207" s="48">
        <f>148.1*C207/100</f>
        <v>29.62</v>
      </c>
      <c r="M207" s="48">
        <f>0*C207/100</f>
        <v>0</v>
      </c>
      <c r="N207" s="48">
        <f>16*C207/100</f>
        <v>3.2</v>
      </c>
      <c r="O207" s="42">
        <f>2.4*C207/100</f>
        <v>0.48</v>
      </c>
      <c r="P207" s="56">
        <f>0.2*C207/100</f>
        <v>0.04</v>
      </c>
      <c r="Q207" s="56">
        <f>1.5*C207/100</f>
        <v>0.3</v>
      </c>
      <c r="R207" s="67">
        <v>200102</v>
      </c>
      <c r="S207" s="67"/>
    </row>
    <row r="208" spans="1:19" s="65" customFormat="1" ht="56.25" x14ac:dyDescent="0.2">
      <c r="A208" s="49">
        <v>4</v>
      </c>
      <c r="B208" s="178" t="s">
        <v>188</v>
      </c>
      <c r="C208" s="179">
        <v>20</v>
      </c>
      <c r="D208" s="180">
        <f>26*C208/100</f>
        <v>5.2</v>
      </c>
      <c r="E208" s="180">
        <f>26.1*C208/100</f>
        <v>5.22</v>
      </c>
      <c r="F208" s="180">
        <f>0*C208/100</f>
        <v>0</v>
      </c>
      <c r="G208" s="62">
        <f>344*C208/100</f>
        <v>68.8</v>
      </c>
      <c r="H208" s="56">
        <f>0.03*C208/100</f>
        <v>6.0000000000000001E-3</v>
      </c>
      <c r="I208" s="56">
        <f>0.8*C208/100</f>
        <v>0.16</v>
      </c>
      <c r="J208" s="56">
        <f>0.23*C208/100</f>
        <v>4.6000000000000006E-2</v>
      </c>
      <c r="K208" s="56">
        <f>0.5*C208/100</f>
        <v>0.1</v>
      </c>
      <c r="L208" s="123">
        <f>1000*C208/100</f>
        <v>200</v>
      </c>
      <c r="M208" s="123">
        <f>650*C208/100</f>
        <v>130</v>
      </c>
      <c r="N208" s="123">
        <f>45*C208/100</f>
        <v>9</v>
      </c>
      <c r="O208" s="56">
        <f>0.8*C208/100</f>
        <v>0.16</v>
      </c>
      <c r="P208" s="56">
        <f>0.3*C208/100</f>
        <v>0.06</v>
      </c>
      <c r="Q208" s="56">
        <v>0</v>
      </c>
      <c r="R208" s="67">
        <v>100102</v>
      </c>
      <c r="S208" s="181"/>
    </row>
    <row r="209" spans="1:19" s="64" customFormat="1" ht="18.75" customHeight="1" x14ac:dyDescent="0.25">
      <c r="A209" s="49">
        <v>5</v>
      </c>
      <c r="B209" s="47" t="s">
        <v>270</v>
      </c>
      <c r="C209" s="41">
        <v>150</v>
      </c>
      <c r="D209" s="42">
        <f>5.9*C209/100</f>
        <v>8.85</v>
      </c>
      <c r="E209" s="42">
        <f>0*C209/100</f>
        <v>0</v>
      </c>
      <c r="F209" s="42">
        <f>24.83*C209/100</f>
        <v>37.244999999999997</v>
      </c>
      <c r="G209" s="42">
        <f>123*C209/100</f>
        <v>184.5</v>
      </c>
      <c r="H209" s="42">
        <v>0</v>
      </c>
      <c r="I209" s="42">
        <f>0.8*C209/100</f>
        <v>1.2</v>
      </c>
      <c r="J209" s="42">
        <v>0</v>
      </c>
      <c r="K209" s="42">
        <v>0</v>
      </c>
      <c r="L209" s="48">
        <f>28.96*C209/100</f>
        <v>43.44</v>
      </c>
      <c r="M209" s="48">
        <f>9.26*C209/100</f>
        <v>13.89</v>
      </c>
      <c r="N209" s="48">
        <f>3.51*C209/100</f>
        <v>5.2649999999999997</v>
      </c>
      <c r="O209" s="42">
        <f>0.1*C209/100</f>
        <v>0.15</v>
      </c>
      <c r="P209" s="56">
        <v>0</v>
      </c>
      <c r="Q209" s="56">
        <v>0</v>
      </c>
      <c r="R209" s="235">
        <v>220107</v>
      </c>
      <c r="S209" s="235">
        <v>220108</v>
      </c>
    </row>
    <row r="210" spans="1:19" s="4" customFormat="1" ht="18.75" customHeight="1" x14ac:dyDescent="0.25">
      <c r="A210" s="49"/>
      <c r="B210" s="218" t="s">
        <v>4</v>
      </c>
      <c r="C210" s="41"/>
      <c r="D210" s="172">
        <f t="shared" ref="D210:Q210" si="35">SUM(D205:D209)</f>
        <v>20.101999999999997</v>
      </c>
      <c r="E210" s="172">
        <f t="shared" si="35"/>
        <v>13.954999999999998</v>
      </c>
      <c r="F210" s="172">
        <f t="shared" si="35"/>
        <v>81.875</v>
      </c>
      <c r="G210" s="172">
        <f t="shared" si="35"/>
        <v>532.90000000000009</v>
      </c>
      <c r="H210" s="172">
        <f t="shared" si="35"/>
        <v>0.254</v>
      </c>
      <c r="I210" s="172">
        <f t="shared" si="35"/>
        <v>13.66</v>
      </c>
      <c r="J210" s="172">
        <f t="shared" si="35"/>
        <v>0.10600000000000001</v>
      </c>
      <c r="K210" s="172">
        <f t="shared" si="35"/>
        <v>0.49</v>
      </c>
      <c r="L210" s="172">
        <f t="shared" si="35"/>
        <v>439.33</v>
      </c>
      <c r="M210" s="172">
        <f t="shared" si="35"/>
        <v>301.42999999999995</v>
      </c>
      <c r="N210" s="172">
        <f t="shared" si="35"/>
        <v>54.585000000000001</v>
      </c>
      <c r="O210" s="172">
        <f t="shared" si="35"/>
        <v>1.3099999999999998</v>
      </c>
      <c r="P210" s="172">
        <f t="shared" si="35"/>
        <v>0.28500000000000003</v>
      </c>
      <c r="Q210" s="172">
        <f t="shared" si="35"/>
        <v>5.2399999999999993</v>
      </c>
      <c r="R210" s="122"/>
      <c r="S210" s="122"/>
    </row>
    <row r="211" spans="1:19" s="4" customFormat="1" ht="18.75" customHeight="1" x14ac:dyDescent="0.25">
      <c r="A211" s="300" t="s">
        <v>5</v>
      </c>
      <c r="B211" s="301"/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  <c r="M211" s="301"/>
      <c r="N211" s="301"/>
      <c r="O211" s="301"/>
      <c r="P211" s="301"/>
      <c r="Q211" s="301"/>
      <c r="R211" s="301"/>
      <c r="S211" s="347"/>
    </row>
    <row r="212" spans="1:19" s="63" customFormat="1" x14ac:dyDescent="0.2">
      <c r="A212" s="49">
        <v>1</v>
      </c>
      <c r="B212" s="47" t="s">
        <v>196</v>
      </c>
      <c r="C212" s="182">
        <v>60</v>
      </c>
      <c r="D212" s="42">
        <f>1.22*C212/100</f>
        <v>0.73199999999999998</v>
      </c>
      <c r="E212" s="42">
        <f>7.09*C212/100</f>
        <v>4.2539999999999996</v>
      </c>
      <c r="F212" s="42">
        <f>6.49*C212/100</f>
        <v>3.8940000000000001</v>
      </c>
      <c r="G212" s="42">
        <f>95.83*C212/100</f>
        <v>57.498000000000005</v>
      </c>
      <c r="H212" s="94">
        <f>0.07*C212/100</f>
        <v>4.2000000000000003E-2</v>
      </c>
      <c r="I212" s="94">
        <f>3.29*C212/100</f>
        <v>1.974</v>
      </c>
      <c r="J212" s="94">
        <f>0*C212/100</f>
        <v>0</v>
      </c>
      <c r="K212" s="94">
        <f>1.57*C212/100</f>
        <v>0.94200000000000006</v>
      </c>
      <c r="L212" s="124">
        <f>25.28*C212/100</f>
        <v>15.168000000000001</v>
      </c>
      <c r="M212" s="124">
        <f>51.84*C212/100</f>
        <v>31.103999999999999</v>
      </c>
      <c r="N212" s="124">
        <f>35.72*C212/100</f>
        <v>21.431999999999999</v>
      </c>
      <c r="O212" s="94">
        <f>0.66*C212/100</f>
        <v>0.39600000000000002</v>
      </c>
      <c r="P212" s="49">
        <f>0.07*C212/100</f>
        <v>4.2000000000000003E-2</v>
      </c>
      <c r="Q212" s="49">
        <v>0</v>
      </c>
      <c r="R212" s="67">
        <v>100301</v>
      </c>
      <c r="S212" s="67"/>
    </row>
    <row r="213" spans="1:19" s="63" customFormat="1" x14ac:dyDescent="0.2">
      <c r="A213" s="49">
        <v>2</v>
      </c>
      <c r="B213" s="47" t="s">
        <v>180</v>
      </c>
      <c r="C213" s="41">
        <v>250</v>
      </c>
      <c r="D213" s="42">
        <f>1.5*C213/100</f>
        <v>3.75</v>
      </c>
      <c r="E213" s="42">
        <f>1.7*C213/100</f>
        <v>4.25</v>
      </c>
      <c r="F213" s="42">
        <f>2.5*C213/100</f>
        <v>6.25</v>
      </c>
      <c r="G213" s="42">
        <f>31.3*C213/100</f>
        <v>78.25</v>
      </c>
      <c r="H213" s="42">
        <f>C213*0.04/100</f>
        <v>0.1</v>
      </c>
      <c r="I213" s="42">
        <f>4.61*C213/100</f>
        <v>11.525</v>
      </c>
      <c r="J213" s="42">
        <f>0.01*C213/100</f>
        <v>2.5000000000000001E-2</v>
      </c>
      <c r="K213" s="42">
        <f>0.11*C213/100</f>
        <v>0.27500000000000002</v>
      </c>
      <c r="L213" s="48">
        <f>C213*17.99/100</f>
        <v>44.975000000000001</v>
      </c>
      <c r="M213" s="48">
        <f>C213*28.01/100</f>
        <v>70.025000000000006</v>
      </c>
      <c r="N213" s="48">
        <f>C213*12.54/100</f>
        <v>31.35</v>
      </c>
      <c r="O213" s="42">
        <f>C213*0.43/100</f>
        <v>1.075</v>
      </c>
      <c r="P213" s="49">
        <f>0.03*C213/100</f>
        <v>7.4999999999999997E-2</v>
      </c>
      <c r="Q213" s="49">
        <v>4</v>
      </c>
      <c r="R213" s="67">
        <v>110203</v>
      </c>
      <c r="S213" s="67">
        <v>110204</v>
      </c>
    </row>
    <row r="214" spans="1:19" s="63" customFormat="1" x14ac:dyDescent="0.2">
      <c r="A214" s="49">
        <v>3</v>
      </c>
      <c r="B214" s="47" t="s">
        <v>181</v>
      </c>
      <c r="C214" s="41">
        <v>100</v>
      </c>
      <c r="D214" s="42">
        <f>13.6*C214/100</f>
        <v>13.6</v>
      </c>
      <c r="E214" s="42">
        <f>7*C214/100</f>
        <v>7</v>
      </c>
      <c r="F214" s="42">
        <f>6*C214/100</f>
        <v>6</v>
      </c>
      <c r="G214" s="42">
        <f>141.4*C214/100</f>
        <v>141.4</v>
      </c>
      <c r="H214" s="42">
        <f>0.06*C214/100</f>
        <v>0.06</v>
      </c>
      <c r="I214" s="42">
        <f>4.04*C214/100</f>
        <v>4.04</v>
      </c>
      <c r="J214" s="42">
        <f>0.03*C214/100</f>
        <v>0.03</v>
      </c>
      <c r="K214" s="42">
        <f>0.09*C214/100</f>
        <v>0.09</v>
      </c>
      <c r="L214" s="48">
        <f>22.16*C214/100</f>
        <v>22.16</v>
      </c>
      <c r="M214" s="48">
        <f>110.92*C214/100</f>
        <v>110.92</v>
      </c>
      <c r="N214" s="48">
        <f>18.49*C214/100</f>
        <v>18.489999999999998</v>
      </c>
      <c r="O214" s="42">
        <f>1.22*C214/100</f>
        <v>1.22</v>
      </c>
      <c r="P214" s="49">
        <f>0.1*C214/100</f>
        <v>0.1</v>
      </c>
      <c r="Q214" s="49">
        <v>0</v>
      </c>
      <c r="R214" s="233">
        <v>120601</v>
      </c>
      <c r="S214" s="233">
        <v>120602</v>
      </c>
    </row>
    <row r="215" spans="1:19" s="63" customFormat="1" x14ac:dyDescent="0.2">
      <c r="A215" s="49">
        <v>4</v>
      </c>
      <c r="B215" s="47" t="s">
        <v>11</v>
      </c>
      <c r="C215" s="41">
        <v>150</v>
      </c>
      <c r="D215" s="42">
        <f>1.625*C215/100</f>
        <v>2.4375</v>
      </c>
      <c r="E215" s="42">
        <f>7.125*C215/100</f>
        <v>10.6875</v>
      </c>
      <c r="F215" s="42">
        <f>9.44*C215/100</f>
        <v>14.16</v>
      </c>
      <c r="G215" s="42">
        <f>108.4*C215/100</f>
        <v>162.6</v>
      </c>
      <c r="H215" s="42">
        <f>0.13*C215/100</f>
        <v>0.19500000000000001</v>
      </c>
      <c r="I215" s="42">
        <f>18.1*C215/100</f>
        <v>27.15</v>
      </c>
      <c r="J215" s="42">
        <f>0.02*C215/100</f>
        <v>0.03</v>
      </c>
      <c r="K215" s="42">
        <f>0.13*C215/100</f>
        <v>0.19500000000000001</v>
      </c>
      <c r="L215" s="48">
        <f>8.9*C215/100</f>
        <v>13.35</v>
      </c>
      <c r="M215" s="48">
        <f>49.09*C215/100</f>
        <v>73.635000000000005</v>
      </c>
      <c r="N215" s="48">
        <f>19.09*C215/100</f>
        <v>28.635000000000002</v>
      </c>
      <c r="O215" s="42">
        <f>0.77*C215/100</f>
        <v>1.155</v>
      </c>
      <c r="P215" s="49">
        <f>0.06*C215/100</f>
        <v>0.09</v>
      </c>
      <c r="Q215" s="49">
        <v>6.27</v>
      </c>
      <c r="R215" s="67">
        <v>130101</v>
      </c>
      <c r="S215" s="67">
        <v>130102</v>
      </c>
    </row>
    <row r="216" spans="1:19" s="52" customFormat="1" x14ac:dyDescent="0.2">
      <c r="A216" s="49">
        <v>5</v>
      </c>
      <c r="B216" s="47" t="s">
        <v>132</v>
      </c>
      <c r="C216" s="41">
        <v>200</v>
      </c>
      <c r="D216" s="42">
        <f>0.09*C216/100</f>
        <v>0.18</v>
      </c>
      <c r="E216" s="42">
        <f>0.02*C216/100</f>
        <v>0.04</v>
      </c>
      <c r="F216" s="42">
        <f>9.1*C216/100</f>
        <v>18.2</v>
      </c>
      <c r="G216" s="42">
        <f>27.67*C216/100</f>
        <v>55.34</v>
      </c>
      <c r="H216" s="42">
        <f>0*C216/100</f>
        <v>0</v>
      </c>
      <c r="I216" s="42">
        <f>1.65*C216/100</f>
        <v>3.3</v>
      </c>
      <c r="J216" s="42">
        <f>0*C216/100</f>
        <v>0</v>
      </c>
      <c r="K216" s="42">
        <f>0.03*C216/100</f>
        <v>0.06</v>
      </c>
      <c r="L216" s="48">
        <f>8.28*C216/100</f>
        <v>16.559999999999999</v>
      </c>
      <c r="M216" s="48">
        <f>3.3*C216/100</f>
        <v>6.6</v>
      </c>
      <c r="N216" s="48">
        <f>3.76*C216/100</f>
        <v>7.52</v>
      </c>
      <c r="O216" s="42">
        <f>0.07*C216/100</f>
        <v>0.14000000000000001</v>
      </c>
      <c r="P216" s="62">
        <v>0</v>
      </c>
      <c r="Q216" s="62">
        <v>2.3199999999999998</v>
      </c>
      <c r="R216" s="67">
        <v>160204</v>
      </c>
      <c r="S216" s="67"/>
    </row>
    <row r="217" spans="1:19" s="63" customFormat="1" x14ac:dyDescent="0.2">
      <c r="A217" s="49">
        <v>6</v>
      </c>
      <c r="B217" s="47" t="s">
        <v>160</v>
      </c>
      <c r="C217" s="41">
        <v>40</v>
      </c>
      <c r="D217" s="42">
        <f>7.76*C217/100</f>
        <v>3.1039999999999996</v>
      </c>
      <c r="E217" s="42">
        <f>2.65*C217/100</f>
        <v>1.06</v>
      </c>
      <c r="F217" s="42">
        <f>53.25*C217/100</f>
        <v>21.3</v>
      </c>
      <c r="G217" s="42">
        <f>273*C217/100</f>
        <v>109.2</v>
      </c>
      <c r="H217" s="42">
        <f>0.34*C217/100</f>
        <v>0.13600000000000001</v>
      </c>
      <c r="I217" s="42">
        <f>0*C217/100</f>
        <v>0</v>
      </c>
      <c r="J217" s="42">
        <v>0</v>
      </c>
      <c r="K217" s="42">
        <f>1.5*C217/100</f>
        <v>0.6</v>
      </c>
      <c r="L217" s="48">
        <f>148.1*C217/100</f>
        <v>59.24</v>
      </c>
      <c r="M217" s="48">
        <f>0*C217/100</f>
        <v>0</v>
      </c>
      <c r="N217" s="48">
        <f>16*C217/100</f>
        <v>6.4</v>
      </c>
      <c r="O217" s="42">
        <f>2.4*C217/100</f>
        <v>0.96</v>
      </c>
      <c r="P217" s="56">
        <f>0.2*C217/100</f>
        <v>0.08</v>
      </c>
      <c r="Q217" s="56">
        <f>1.5*C217/100</f>
        <v>0.6</v>
      </c>
      <c r="R217" s="67">
        <v>200102</v>
      </c>
      <c r="S217" s="67"/>
    </row>
    <row r="218" spans="1:19" s="63" customFormat="1" x14ac:dyDescent="0.2">
      <c r="A218" s="49">
        <v>7</v>
      </c>
      <c r="B218" s="47" t="s">
        <v>159</v>
      </c>
      <c r="C218" s="41">
        <v>20</v>
      </c>
      <c r="D218" s="42">
        <f>5.86*C218/100</f>
        <v>1.1719999999999999</v>
      </c>
      <c r="E218" s="42">
        <f>0.94*C218/100</f>
        <v>0.18799999999999997</v>
      </c>
      <c r="F218" s="42">
        <f>44.4*C218/100</f>
        <v>8.8800000000000008</v>
      </c>
      <c r="G218" s="42">
        <f>189*C218/100</f>
        <v>37.799999999999997</v>
      </c>
      <c r="H218" s="42">
        <f>0.4*C218/100</f>
        <v>0.08</v>
      </c>
      <c r="I218" s="42">
        <f>0.03*C218/100</f>
        <v>6.0000000000000001E-3</v>
      </c>
      <c r="J218" s="42">
        <v>0</v>
      </c>
      <c r="K218" s="42">
        <f>1.7*C218/100</f>
        <v>0.34</v>
      </c>
      <c r="L218" s="48">
        <f>25.4*C218/100</f>
        <v>5.08</v>
      </c>
      <c r="M218" s="48">
        <f>105.53*C218/100</f>
        <v>21.105999999999998</v>
      </c>
      <c r="N218" s="48">
        <f>36.5*C218/100</f>
        <v>7.3</v>
      </c>
      <c r="O218" s="42">
        <f>2.45*C218/100</f>
        <v>0.49</v>
      </c>
      <c r="P218" s="56">
        <f>0.2*C218/100</f>
        <v>0.04</v>
      </c>
      <c r="Q218" s="56">
        <f>10*C218/100</f>
        <v>2</v>
      </c>
      <c r="R218" s="67">
        <v>200103</v>
      </c>
      <c r="S218" s="67"/>
    </row>
    <row r="219" spans="1:19" s="4" customFormat="1" ht="19.5" thickBot="1" x14ac:dyDescent="0.3">
      <c r="A219" s="49"/>
      <c r="B219" s="218" t="s">
        <v>4</v>
      </c>
      <c r="C219" s="120"/>
      <c r="D219" s="170">
        <f t="shared" ref="D219:Q219" si="36">SUM(D212:D218)</f>
        <v>24.9755</v>
      </c>
      <c r="E219" s="170">
        <f t="shared" si="36"/>
        <v>27.479499999999994</v>
      </c>
      <c r="F219" s="170">
        <f t="shared" si="36"/>
        <v>78.683999999999997</v>
      </c>
      <c r="G219" s="170">
        <f t="shared" si="36"/>
        <v>642.08800000000008</v>
      </c>
      <c r="H219" s="170">
        <f t="shared" si="36"/>
        <v>0.61299999999999999</v>
      </c>
      <c r="I219" s="170">
        <f t="shared" si="36"/>
        <v>47.994999999999997</v>
      </c>
      <c r="J219" s="170">
        <f t="shared" si="36"/>
        <v>8.4999999999999992E-2</v>
      </c>
      <c r="K219" s="170">
        <f t="shared" si="36"/>
        <v>2.5020000000000002</v>
      </c>
      <c r="L219" s="170">
        <f t="shared" si="36"/>
        <v>176.53300000000002</v>
      </c>
      <c r="M219" s="170">
        <f t="shared" si="36"/>
        <v>313.39000000000004</v>
      </c>
      <c r="N219" s="170">
        <f t="shared" si="36"/>
        <v>121.127</v>
      </c>
      <c r="O219" s="170">
        <f t="shared" si="36"/>
        <v>5.4359999999999999</v>
      </c>
      <c r="P219" s="172">
        <f t="shared" si="36"/>
        <v>0.42699999999999999</v>
      </c>
      <c r="Q219" s="172">
        <f t="shared" si="36"/>
        <v>15.19</v>
      </c>
      <c r="R219" s="122"/>
      <c r="S219" s="122"/>
    </row>
    <row r="220" spans="1:19" s="4" customFormat="1" ht="18.75" customHeight="1" thickBot="1" x14ac:dyDescent="0.3">
      <c r="A220" s="355" t="s">
        <v>35</v>
      </c>
      <c r="B220" s="356"/>
      <c r="C220" s="356"/>
      <c r="D220" s="356"/>
      <c r="E220" s="356"/>
      <c r="F220" s="356"/>
      <c r="G220" s="356"/>
      <c r="H220" s="356"/>
      <c r="I220" s="356"/>
      <c r="J220" s="356"/>
      <c r="K220" s="356"/>
      <c r="L220" s="356"/>
      <c r="M220" s="356"/>
      <c r="N220" s="356"/>
      <c r="O220" s="356"/>
      <c r="P220" s="356"/>
      <c r="Q220" s="356"/>
      <c r="R220" s="356"/>
      <c r="S220" s="357"/>
    </row>
    <row r="221" spans="1:19" s="63" customFormat="1" ht="37.5" x14ac:dyDescent="0.2">
      <c r="A221" s="49">
        <v>1</v>
      </c>
      <c r="B221" s="47" t="s">
        <v>247</v>
      </c>
      <c r="C221" s="41">
        <v>50</v>
      </c>
      <c r="D221" s="42">
        <f>13*C221/100</f>
        <v>6.5</v>
      </c>
      <c r="E221" s="42">
        <f>5.7*C221/100</f>
        <v>2.85</v>
      </c>
      <c r="F221" s="42">
        <f>47.2*C221/100</f>
        <v>23.6</v>
      </c>
      <c r="G221" s="42">
        <f>292*C221/100</f>
        <v>146</v>
      </c>
      <c r="H221" s="42">
        <f>0.08*C221/100</f>
        <v>0.04</v>
      </c>
      <c r="I221" s="42">
        <f>0.25*C221/100</f>
        <v>0.125</v>
      </c>
      <c r="J221" s="42">
        <f>0.01*C221/100</f>
        <v>5.0000000000000001E-3</v>
      </c>
      <c r="K221" s="42">
        <f>0.95*C221/100</f>
        <v>0.47499999999999998</v>
      </c>
      <c r="L221" s="48">
        <f>34.87*C221/100</f>
        <v>17.434999999999999</v>
      </c>
      <c r="M221" s="48">
        <f>47.49*C221/100</f>
        <v>23.745000000000001</v>
      </c>
      <c r="N221" s="48">
        <f>12.92*C221/100</f>
        <v>6.46</v>
      </c>
      <c r="O221" s="42">
        <f>1.05*C221/100</f>
        <v>0.52500000000000002</v>
      </c>
      <c r="P221" s="49">
        <f>0.06*C221/100</f>
        <v>0.03</v>
      </c>
      <c r="Q221" s="49">
        <v>4</v>
      </c>
      <c r="R221" s="183" t="s">
        <v>248</v>
      </c>
      <c r="S221" s="67">
        <v>190206</v>
      </c>
    </row>
    <row r="222" spans="1:19" s="63" customFormat="1" x14ac:dyDescent="0.2">
      <c r="A222" s="221">
        <v>2</v>
      </c>
      <c r="B222" s="47" t="s">
        <v>163</v>
      </c>
      <c r="C222" s="41">
        <v>200</v>
      </c>
      <c r="D222" s="60">
        <f>3.05*C222/100</f>
        <v>6.1</v>
      </c>
      <c r="E222" s="60">
        <f>3.11*C222/100</f>
        <v>6.22</v>
      </c>
      <c r="F222" s="60">
        <f>9.83*C222/100</f>
        <v>19.66</v>
      </c>
      <c r="G222" s="107">
        <f>79.2*C222/100</f>
        <v>158.4</v>
      </c>
      <c r="H222" s="44">
        <f>0.26*C222/100</f>
        <v>0.52</v>
      </c>
      <c r="I222" s="42">
        <f>14.61*C222/100</f>
        <v>29.22</v>
      </c>
      <c r="J222" s="42">
        <f>0.4*C222/100</f>
        <v>0.8</v>
      </c>
      <c r="K222" s="42">
        <v>0</v>
      </c>
      <c r="L222" s="48">
        <f>24.96*C222/100</f>
        <v>49.92</v>
      </c>
      <c r="M222" s="48">
        <v>0</v>
      </c>
      <c r="N222" s="48">
        <f>0.1*C222/100</f>
        <v>0.2</v>
      </c>
      <c r="O222" s="45">
        <v>0</v>
      </c>
      <c r="P222" s="49">
        <v>0.14000000000000001</v>
      </c>
      <c r="Q222" s="50">
        <v>7.68</v>
      </c>
      <c r="R222" s="181">
        <v>160101</v>
      </c>
      <c r="S222" s="67">
        <v>160102</v>
      </c>
    </row>
    <row r="223" spans="1:19" s="4" customFormat="1" ht="19.5" customHeight="1" x14ac:dyDescent="0.25">
      <c r="A223" s="108"/>
      <c r="B223" s="218" t="s">
        <v>4</v>
      </c>
      <c r="C223" s="41"/>
      <c r="D223" s="110">
        <f t="shared" ref="D223:Q223" si="37">SUM(D221:D222)</f>
        <v>12.6</v>
      </c>
      <c r="E223" s="110">
        <f t="shared" si="37"/>
        <v>9.07</v>
      </c>
      <c r="F223" s="110">
        <f t="shared" si="37"/>
        <v>43.260000000000005</v>
      </c>
      <c r="G223" s="111">
        <f t="shared" si="37"/>
        <v>304.39999999999998</v>
      </c>
      <c r="H223" s="112">
        <f t="shared" si="37"/>
        <v>0.56000000000000005</v>
      </c>
      <c r="I223" s="110">
        <f t="shared" si="37"/>
        <v>29.344999999999999</v>
      </c>
      <c r="J223" s="110">
        <f t="shared" si="37"/>
        <v>0.80500000000000005</v>
      </c>
      <c r="K223" s="110">
        <f t="shared" si="37"/>
        <v>0.47499999999999998</v>
      </c>
      <c r="L223" s="110">
        <f t="shared" si="37"/>
        <v>67.355000000000004</v>
      </c>
      <c r="M223" s="110">
        <f t="shared" si="37"/>
        <v>23.745000000000001</v>
      </c>
      <c r="N223" s="110">
        <f t="shared" si="37"/>
        <v>6.66</v>
      </c>
      <c r="O223" s="111">
        <f t="shared" si="37"/>
        <v>0.52500000000000002</v>
      </c>
      <c r="P223" s="110">
        <f t="shared" si="37"/>
        <v>0.17</v>
      </c>
      <c r="Q223" s="110">
        <f t="shared" si="37"/>
        <v>11.68</v>
      </c>
      <c r="R223" s="57"/>
      <c r="S223" s="58"/>
    </row>
    <row r="224" spans="1:19" s="4" customFormat="1" ht="19.5" thickBot="1" x14ac:dyDescent="0.3">
      <c r="A224" s="97"/>
      <c r="B224" s="100" t="s">
        <v>7</v>
      </c>
      <c r="C224" s="121"/>
      <c r="D224" s="102">
        <f t="shared" ref="D224:Q224" si="38">D210+D219+D223</f>
        <v>57.677500000000002</v>
      </c>
      <c r="E224" s="102">
        <f t="shared" si="38"/>
        <v>50.504499999999993</v>
      </c>
      <c r="F224" s="102">
        <f t="shared" si="38"/>
        <v>203.81900000000002</v>
      </c>
      <c r="G224" s="113">
        <f t="shared" si="38"/>
        <v>1479.3880000000004</v>
      </c>
      <c r="H224" s="114">
        <f t="shared" si="38"/>
        <v>1.427</v>
      </c>
      <c r="I224" s="102">
        <f t="shared" si="38"/>
        <v>91</v>
      </c>
      <c r="J224" s="102">
        <f t="shared" si="38"/>
        <v>0.996</v>
      </c>
      <c r="K224" s="102">
        <f t="shared" si="38"/>
        <v>3.4670000000000001</v>
      </c>
      <c r="L224" s="102">
        <f t="shared" si="38"/>
        <v>683.21800000000007</v>
      </c>
      <c r="M224" s="102">
        <f t="shared" si="38"/>
        <v>638.56499999999994</v>
      </c>
      <c r="N224" s="102">
        <f t="shared" si="38"/>
        <v>182.37199999999999</v>
      </c>
      <c r="O224" s="103">
        <f t="shared" si="38"/>
        <v>7.2709999999999999</v>
      </c>
      <c r="P224" s="103">
        <f t="shared" si="38"/>
        <v>0.88200000000000001</v>
      </c>
      <c r="Q224" s="103">
        <f t="shared" si="38"/>
        <v>32.11</v>
      </c>
      <c r="R224" s="99"/>
      <c r="S224" s="105"/>
    </row>
    <row r="225" spans="1:19" s="4" customFormat="1" ht="19.5" customHeight="1" thickBot="1" x14ac:dyDescent="0.3">
      <c r="A225" s="358" t="s">
        <v>49</v>
      </c>
      <c r="B225" s="359"/>
      <c r="C225" s="359"/>
      <c r="D225" s="359"/>
      <c r="E225" s="359"/>
      <c r="F225" s="359"/>
      <c r="G225" s="359"/>
      <c r="H225" s="359"/>
      <c r="I225" s="359"/>
      <c r="J225" s="359"/>
      <c r="K225" s="359"/>
      <c r="L225" s="359"/>
      <c r="M225" s="359"/>
      <c r="N225" s="359"/>
      <c r="O225" s="359"/>
      <c r="P225" s="359"/>
      <c r="Q225" s="359"/>
      <c r="R225" s="359"/>
      <c r="S225" s="360"/>
    </row>
    <row r="226" spans="1:19" s="4" customFormat="1" x14ac:dyDescent="0.25">
      <c r="A226" s="117"/>
      <c r="B226" s="301" t="s">
        <v>3</v>
      </c>
      <c r="C226" s="301"/>
      <c r="D226" s="301"/>
      <c r="E226" s="301"/>
      <c r="F226" s="301"/>
      <c r="G226" s="301"/>
      <c r="H226" s="301"/>
      <c r="I226" s="301"/>
      <c r="J226" s="301"/>
      <c r="K226" s="301"/>
      <c r="L226" s="301"/>
      <c r="M226" s="301"/>
      <c r="N226" s="301"/>
      <c r="O226" s="301"/>
      <c r="P226" s="301"/>
      <c r="Q226" s="301"/>
      <c r="R226" s="301"/>
      <c r="S226" s="347"/>
    </row>
    <row r="227" spans="1:19" s="63" customFormat="1" x14ac:dyDescent="0.2">
      <c r="A227" s="49">
        <v>1</v>
      </c>
      <c r="B227" s="47" t="s">
        <v>14</v>
      </c>
      <c r="C227" s="41">
        <v>150</v>
      </c>
      <c r="D227" s="176">
        <f>14.2*C227/100</f>
        <v>21.3</v>
      </c>
      <c r="E227" s="176">
        <f>9.6*C227/100</f>
        <v>14.4</v>
      </c>
      <c r="F227" s="176">
        <f>14.4*C227/100</f>
        <v>21.6</v>
      </c>
      <c r="G227" s="176">
        <f>200.8*C227/100</f>
        <v>301.2</v>
      </c>
      <c r="H227" s="42">
        <f>0.06*C227/100</f>
        <v>0.09</v>
      </c>
      <c r="I227" s="42">
        <f>0.22*C227/100</f>
        <v>0.33</v>
      </c>
      <c r="J227" s="42">
        <f>0.07*C227/100</f>
        <v>0.10500000000000002</v>
      </c>
      <c r="K227" s="42">
        <f>0.44*C227/100</f>
        <v>0.66</v>
      </c>
      <c r="L227" s="48">
        <f>140.96*C227/100</f>
        <v>211.44</v>
      </c>
      <c r="M227" s="48">
        <f>205.55*C227/100</f>
        <v>308.32499999999999</v>
      </c>
      <c r="N227" s="48">
        <f>20.84*C227/100</f>
        <v>31.26</v>
      </c>
      <c r="O227" s="42">
        <f>0.66*C227/100</f>
        <v>0.99</v>
      </c>
      <c r="P227" s="49">
        <f>0.25*C227/100</f>
        <v>0.375</v>
      </c>
      <c r="Q227" s="49">
        <f>1.61*C227/100</f>
        <v>2.4150000000000005</v>
      </c>
      <c r="R227" s="67">
        <v>120313</v>
      </c>
      <c r="S227" s="67">
        <v>120314</v>
      </c>
    </row>
    <row r="228" spans="1:19" s="63" customFormat="1" x14ac:dyDescent="0.2">
      <c r="A228" s="49">
        <v>2</v>
      </c>
      <c r="B228" s="47" t="s">
        <v>240</v>
      </c>
      <c r="C228" s="41">
        <v>30</v>
      </c>
      <c r="D228" s="176">
        <f>1.7*C228/100</f>
        <v>0.51</v>
      </c>
      <c r="E228" s="176">
        <f>5.2*C228/100</f>
        <v>1.56</v>
      </c>
      <c r="F228" s="176">
        <f>7.1*C228/100</f>
        <v>2.13</v>
      </c>
      <c r="G228" s="176">
        <f>82*C228/100</f>
        <v>24.6</v>
      </c>
      <c r="H228" s="42">
        <f>0.02*C228/100</f>
        <v>6.0000000000000001E-3</v>
      </c>
      <c r="I228" s="42">
        <f>30.6*C228/100</f>
        <v>9.18</v>
      </c>
      <c r="J228" s="42">
        <f>0*C228/100</f>
        <v>0</v>
      </c>
      <c r="K228" s="42">
        <f>0*C228/100</f>
        <v>0</v>
      </c>
      <c r="L228" s="48">
        <f>22.2*C228/100</f>
        <v>6.66</v>
      </c>
      <c r="M228" s="48">
        <f>0*C228/100</f>
        <v>0</v>
      </c>
      <c r="N228" s="48">
        <f>0*C228/100</f>
        <v>0</v>
      </c>
      <c r="O228" s="42">
        <f>0.18*C228/100</f>
        <v>5.3999999999999992E-2</v>
      </c>
      <c r="P228" s="49">
        <f>0.03*C228/100</f>
        <v>8.9999999999999993E-3</v>
      </c>
      <c r="Q228" s="49">
        <v>0.48</v>
      </c>
      <c r="R228" s="67">
        <v>140203</v>
      </c>
      <c r="S228" s="67">
        <v>140204</v>
      </c>
    </row>
    <row r="229" spans="1:19" s="63" customFormat="1" x14ac:dyDescent="0.2">
      <c r="A229" s="49">
        <v>3</v>
      </c>
      <c r="B229" s="47" t="s">
        <v>233</v>
      </c>
      <c r="C229" s="41">
        <v>200</v>
      </c>
      <c r="D229" s="171">
        <f>0*C229/100</f>
        <v>0</v>
      </c>
      <c r="E229" s="171">
        <f>0*C229/100</f>
        <v>0</v>
      </c>
      <c r="F229" s="171">
        <f>0*C229/100</f>
        <v>0</v>
      </c>
      <c r="G229" s="171">
        <f>17*C229/100</f>
        <v>34</v>
      </c>
      <c r="H229" s="42">
        <v>0</v>
      </c>
      <c r="I229" s="42">
        <v>0</v>
      </c>
      <c r="J229" s="42">
        <v>0</v>
      </c>
      <c r="K229" s="42">
        <v>0</v>
      </c>
      <c r="L229" s="48">
        <v>4.8600000000000003</v>
      </c>
      <c r="M229" s="48">
        <v>0</v>
      </c>
      <c r="N229" s="48">
        <v>1.08</v>
      </c>
      <c r="O229" s="42">
        <v>0</v>
      </c>
      <c r="P229" s="49">
        <v>0</v>
      </c>
      <c r="Q229" s="49">
        <v>0</v>
      </c>
      <c r="R229" s="67">
        <v>160107</v>
      </c>
      <c r="S229" s="67"/>
    </row>
    <row r="230" spans="1:19" s="63" customFormat="1" x14ac:dyDescent="0.3">
      <c r="A230" s="49">
        <v>4</v>
      </c>
      <c r="B230" s="47" t="s">
        <v>140</v>
      </c>
      <c r="C230" s="41">
        <v>10</v>
      </c>
      <c r="D230" s="171">
        <f>0*C230/100</f>
        <v>0</v>
      </c>
      <c r="E230" s="171">
        <f>0*C230/100</f>
        <v>0</v>
      </c>
      <c r="F230" s="171">
        <f>99.8*C230/100</f>
        <v>9.98</v>
      </c>
      <c r="G230" s="171">
        <f>374.3*C230/100</f>
        <v>37.43</v>
      </c>
      <c r="H230" s="42">
        <v>0</v>
      </c>
      <c r="I230" s="42">
        <v>0</v>
      </c>
      <c r="J230" s="42">
        <v>0</v>
      </c>
      <c r="K230" s="42">
        <v>0</v>
      </c>
      <c r="L230" s="42">
        <v>0.2</v>
      </c>
      <c r="M230" s="42">
        <v>0</v>
      </c>
      <c r="N230" s="42">
        <v>0</v>
      </c>
      <c r="O230" s="42">
        <v>0.03</v>
      </c>
      <c r="P230" s="55">
        <v>0</v>
      </c>
      <c r="Q230" s="55">
        <v>0</v>
      </c>
      <c r="R230" s="67"/>
      <c r="S230" s="67"/>
    </row>
    <row r="231" spans="1:19" s="63" customFormat="1" x14ac:dyDescent="0.2">
      <c r="A231" s="49">
        <v>5</v>
      </c>
      <c r="B231" s="47" t="s">
        <v>160</v>
      </c>
      <c r="C231" s="41">
        <v>20</v>
      </c>
      <c r="D231" s="42">
        <f>7.76*C231/100</f>
        <v>1.5519999999999998</v>
      </c>
      <c r="E231" s="42">
        <f>2.65*C231/100</f>
        <v>0.53</v>
      </c>
      <c r="F231" s="42">
        <f>53.25*C231/100</f>
        <v>10.65</v>
      </c>
      <c r="G231" s="42">
        <f>273*C231/100</f>
        <v>54.6</v>
      </c>
      <c r="H231" s="42">
        <f>0.34*C231/100</f>
        <v>6.8000000000000005E-2</v>
      </c>
      <c r="I231" s="42">
        <f>0*C231/100</f>
        <v>0</v>
      </c>
      <c r="J231" s="42">
        <v>0</v>
      </c>
      <c r="K231" s="42">
        <f>1.5*C231/100</f>
        <v>0.3</v>
      </c>
      <c r="L231" s="48">
        <f>148.1*C231/100</f>
        <v>29.62</v>
      </c>
      <c r="M231" s="48">
        <f>0*C231/100</f>
        <v>0</v>
      </c>
      <c r="N231" s="48">
        <f>16*C231/100</f>
        <v>3.2</v>
      </c>
      <c r="O231" s="42">
        <f>2.4*C231/100</f>
        <v>0.48</v>
      </c>
      <c r="P231" s="56">
        <f>0.2*C231/100</f>
        <v>0.04</v>
      </c>
      <c r="Q231" s="56">
        <f>1.5*C231/100</f>
        <v>0.3</v>
      </c>
      <c r="R231" s="67">
        <v>200102</v>
      </c>
      <c r="S231" s="67"/>
    </row>
    <row r="232" spans="1:19" s="63" customFormat="1" ht="37.5" x14ac:dyDescent="0.2">
      <c r="A232" s="49">
        <v>6</v>
      </c>
      <c r="B232" s="47" t="s">
        <v>164</v>
      </c>
      <c r="C232" s="41">
        <v>10</v>
      </c>
      <c r="D232" s="42">
        <f>0.5*C232/100</f>
        <v>0.05</v>
      </c>
      <c r="E232" s="42">
        <f>82.5*C232/100</f>
        <v>8.25</v>
      </c>
      <c r="F232" s="42">
        <f>0.8*C232/100</f>
        <v>0.08</v>
      </c>
      <c r="G232" s="42">
        <f>748*C232/100</f>
        <v>74.8</v>
      </c>
      <c r="H232" s="42">
        <v>0</v>
      </c>
      <c r="I232" s="42">
        <v>0</v>
      </c>
      <c r="J232" s="42">
        <f>0.4*C232/100</f>
        <v>0.04</v>
      </c>
      <c r="K232" s="42">
        <f>1*C232/100</f>
        <v>0.1</v>
      </c>
      <c r="L232" s="48">
        <f>12*C232/100</f>
        <v>1.2</v>
      </c>
      <c r="M232" s="48">
        <f>19*C232/100</f>
        <v>1.9</v>
      </c>
      <c r="N232" s="48">
        <f>0*C232/100</f>
        <v>0</v>
      </c>
      <c r="O232" s="42">
        <f>0.2*C232/100</f>
        <v>0.02</v>
      </c>
      <c r="P232" s="56">
        <f>0.1*C232/100</f>
        <v>0.01</v>
      </c>
      <c r="Q232" s="49">
        <v>0</v>
      </c>
      <c r="R232" s="67"/>
      <c r="S232" s="67"/>
    </row>
    <row r="233" spans="1:19" s="46" customFormat="1" ht="18.75" customHeight="1" x14ac:dyDescent="0.3">
      <c r="A233" s="49">
        <v>7</v>
      </c>
      <c r="B233" s="47" t="s">
        <v>232</v>
      </c>
      <c r="C233" s="41" t="s">
        <v>274</v>
      </c>
      <c r="D233" s="42">
        <v>0.64</v>
      </c>
      <c r="E233" s="42">
        <v>0.16</v>
      </c>
      <c r="F233" s="42">
        <v>6</v>
      </c>
      <c r="G233" s="42">
        <v>30.4</v>
      </c>
      <c r="H233" s="42">
        <v>4.8000000000000001E-2</v>
      </c>
      <c r="I233" s="42">
        <v>30.4</v>
      </c>
      <c r="J233" s="42">
        <v>0</v>
      </c>
      <c r="K233" s="42">
        <v>0.16</v>
      </c>
      <c r="L233" s="42">
        <v>28</v>
      </c>
      <c r="M233" s="42">
        <v>13.6</v>
      </c>
      <c r="N233" s="42">
        <v>8.8000000000000007</v>
      </c>
      <c r="O233" s="42">
        <v>0</v>
      </c>
      <c r="P233" s="55">
        <v>2.4E-2</v>
      </c>
      <c r="Q233" s="55">
        <v>1.4</v>
      </c>
      <c r="R233" s="122">
        <v>210104</v>
      </c>
      <c r="S233" s="122"/>
    </row>
    <row r="234" spans="1:19" s="4" customFormat="1" ht="18.75" customHeight="1" x14ac:dyDescent="0.25">
      <c r="A234" s="49"/>
      <c r="B234" s="218" t="s">
        <v>4</v>
      </c>
      <c r="C234" s="120"/>
      <c r="D234" s="172">
        <f t="shared" ref="D234:Q234" si="39">SUM(D227:D233)</f>
        <v>24.052000000000003</v>
      </c>
      <c r="E234" s="172">
        <f t="shared" si="39"/>
        <v>24.900000000000002</v>
      </c>
      <c r="F234" s="172">
        <f t="shared" si="39"/>
        <v>50.44</v>
      </c>
      <c r="G234" s="172">
        <f t="shared" si="39"/>
        <v>557.03</v>
      </c>
      <c r="H234" s="172">
        <f t="shared" si="39"/>
        <v>0.21200000000000002</v>
      </c>
      <c r="I234" s="172">
        <f t="shared" si="39"/>
        <v>39.909999999999997</v>
      </c>
      <c r="J234" s="172">
        <f t="shared" si="39"/>
        <v>0.14500000000000002</v>
      </c>
      <c r="K234" s="172">
        <f t="shared" si="39"/>
        <v>1.22</v>
      </c>
      <c r="L234" s="172">
        <f t="shared" si="39"/>
        <v>281.98</v>
      </c>
      <c r="M234" s="172">
        <f t="shared" si="39"/>
        <v>323.82499999999999</v>
      </c>
      <c r="N234" s="172">
        <f t="shared" si="39"/>
        <v>44.34</v>
      </c>
      <c r="O234" s="172">
        <f t="shared" si="39"/>
        <v>1.5740000000000001</v>
      </c>
      <c r="P234" s="172">
        <f t="shared" si="39"/>
        <v>0.45800000000000002</v>
      </c>
      <c r="Q234" s="172">
        <f t="shared" si="39"/>
        <v>4.5950000000000006</v>
      </c>
      <c r="R234" s="122"/>
      <c r="S234" s="122"/>
    </row>
    <row r="235" spans="1:19" s="4" customFormat="1" ht="18.75" customHeight="1" x14ac:dyDescent="0.25">
      <c r="A235" s="300" t="s">
        <v>5</v>
      </c>
      <c r="B235" s="301"/>
      <c r="C235" s="301"/>
      <c r="D235" s="301"/>
      <c r="E235" s="301"/>
      <c r="F235" s="301"/>
      <c r="G235" s="301"/>
      <c r="H235" s="301"/>
      <c r="I235" s="301"/>
      <c r="J235" s="301"/>
      <c r="K235" s="301"/>
      <c r="L235" s="301"/>
      <c r="M235" s="301"/>
      <c r="N235" s="301"/>
      <c r="O235" s="301"/>
      <c r="P235" s="301"/>
      <c r="Q235" s="301"/>
      <c r="R235" s="301"/>
      <c r="S235" s="347"/>
    </row>
    <row r="236" spans="1:19" s="63" customFormat="1" ht="37.5" x14ac:dyDescent="0.2">
      <c r="A236" s="49">
        <v>1</v>
      </c>
      <c r="B236" s="47" t="s">
        <v>197</v>
      </c>
      <c r="C236" s="41">
        <v>60</v>
      </c>
      <c r="D236" s="42">
        <f>1.53*C236/100</f>
        <v>0.91799999999999993</v>
      </c>
      <c r="E236" s="42">
        <f>5.08*C236/100</f>
        <v>3.048</v>
      </c>
      <c r="F236" s="42">
        <f>4.54*C236/100</f>
        <v>2.7239999999999998</v>
      </c>
      <c r="G236" s="42">
        <f>70.62*C236/100</f>
        <v>42.372000000000007</v>
      </c>
      <c r="H236" s="42">
        <f>C236*0.05/100</f>
        <v>0.03</v>
      </c>
      <c r="I236" s="42">
        <f>C236*85.9/100</f>
        <v>51.54</v>
      </c>
      <c r="J236" s="42">
        <f>C236*7.86/100000</f>
        <v>4.7160000000000006E-3</v>
      </c>
      <c r="K236" s="42">
        <f>C236*0.94/100</f>
        <v>0.56399999999999995</v>
      </c>
      <c r="L236" s="48">
        <f>C236*34.97/100</f>
        <v>20.981999999999999</v>
      </c>
      <c r="M236" s="48">
        <f>C236*31.42/100</f>
        <v>18.852</v>
      </c>
      <c r="N236" s="48">
        <f>C236*15.03/100</f>
        <v>9.0179999999999989</v>
      </c>
      <c r="O236" s="42">
        <f>C236*0.62/100</f>
        <v>0.37200000000000005</v>
      </c>
      <c r="P236" s="49">
        <f>0.05*C236/100</f>
        <v>0.03</v>
      </c>
      <c r="Q236" s="49">
        <v>2.62</v>
      </c>
      <c r="R236" s="67">
        <v>100202</v>
      </c>
      <c r="S236" s="67"/>
    </row>
    <row r="237" spans="1:19" s="63" customFormat="1" x14ac:dyDescent="0.2">
      <c r="A237" s="49">
        <v>2</v>
      </c>
      <c r="B237" s="47" t="s">
        <v>199</v>
      </c>
      <c r="C237" s="41">
        <v>250</v>
      </c>
      <c r="D237" s="42">
        <f>0.7*C237/100</f>
        <v>1.75</v>
      </c>
      <c r="E237" s="42">
        <f>1.8*C237/100</f>
        <v>4.5</v>
      </c>
      <c r="F237" s="42">
        <f>3.7*C237/100</f>
        <v>9.25</v>
      </c>
      <c r="G237" s="42">
        <f>33.8*C237/100</f>
        <v>84.5</v>
      </c>
      <c r="H237" s="42">
        <f>0.04*C237/100</f>
        <v>0.1</v>
      </c>
      <c r="I237" s="42">
        <f>4.24*C237/100</f>
        <v>10.6</v>
      </c>
      <c r="J237" s="42">
        <f>0.01*C237/100</f>
        <v>2.5000000000000001E-2</v>
      </c>
      <c r="K237" s="42">
        <f>0.11*C237/100</f>
        <v>0.27500000000000002</v>
      </c>
      <c r="L237" s="48">
        <f>19.09*C237/100</f>
        <v>47.725000000000001</v>
      </c>
      <c r="M237" s="48">
        <f>56.93*C237/100</f>
        <v>142.32499999999999</v>
      </c>
      <c r="N237" s="48">
        <f>14.08*C237/100</f>
        <v>35.200000000000003</v>
      </c>
      <c r="O237" s="42">
        <f>2.06*C237/100</f>
        <v>5.15</v>
      </c>
      <c r="P237" s="49">
        <f>0.07*C237/100</f>
        <v>0.17499999999999999</v>
      </c>
      <c r="Q237" s="49">
        <v>3.63</v>
      </c>
      <c r="R237" s="67">
        <v>110309</v>
      </c>
      <c r="S237" s="67">
        <v>110310</v>
      </c>
    </row>
    <row r="238" spans="1:19" s="63" customFormat="1" x14ac:dyDescent="0.2">
      <c r="A238" s="49">
        <v>3</v>
      </c>
      <c r="B238" s="47" t="s">
        <v>124</v>
      </c>
      <c r="C238" s="41">
        <v>10</v>
      </c>
      <c r="D238" s="42">
        <f>11.1*C238/100</f>
        <v>1.1100000000000001</v>
      </c>
      <c r="E238" s="42">
        <f>3.79*C238/100</f>
        <v>0.379</v>
      </c>
      <c r="F238" s="42">
        <f>76.15*C238/100</f>
        <v>7.6150000000000002</v>
      </c>
      <c r="G238" s="42">
        <f>390.39*C238/100</f>
        <v>39.038999999999994</v>
      </c>
      <c r="H238" s="42">
        <f>0.61*C238/100</f>
        <v>6.0999999999999999E-2</v>
      </c>
      <c r="I238" s="42">
        <f>0*C238/100</f>
        <v>0</v>
      </c>
      <c r="J238" s="42">
        <f>0*C238/100</f>
        <v>0</v>
      </c>
      <c r="K238" s="42">
        <f>0*C238/100</f>
        <v>0</v>
      </c>
      <c r="L238" s="48">
        <f>211.78*C238/100</f>
        <v>21.178000000000001</v>
      </c>
      <c r="M238" s="48">
        <f>0.25*C238/100</f>
        <v>2.5000000000000001E-2</v>
      </c>
      <c r="N238" s="48">
        <f>22.8*C238/100</f>
        <v>2.2799999999999998</v>
      </c>
      <c r="O238" s="42">
        <f>0.002*C238/100</f>
        <v>2.0000000000000001E-4</v>
      </c>
      <c r="P238" s="49">
        <f>0.44*C238/100</f>
        <v>4.4000000000000004E-2</v>
      </c>
      <c r="Q238" s="49">
        <v>0</v>
      </c>
      <c r="R238" s="67">
        <v>180601</v>
      </c>
      <c r="S238" s="67"/>
    </row>
    <row r="239" spans="1:19" s="63" customFormat="1" x14ac:dyDescent="0.2">
      <c r="A239" s="49">
        <v>4</v>
      </c>
      <c r="B239" s="47" t="s">
        <v>216</v>
      </c>
      <c r="C239" s="41">
        <v>80</v>
      </c>
      <c r="D239" s="42">
        <f>8.7*C239/100</f>
        <v>6.96</v>
      </c>
      <c r="E239" s="42">
        <f>5.5*C239/100</f>
        <v>4.4000000000000004</v>
      </c>
      <c r="F239" s="42">
        <f>18.5*C239/100</f>
        <v>14.8</v>
      </c>
      <c r="G239" s="42">
        <f>158.3*C239/100</f>
        <v>126.64</v>
      </c>
      <c r="H239" s="42">
        <f>0.05*C239/100</f>
        <v>0.04</v>
      </c>
      <c r="I239" s="42">
        <f>0*C239/100</f>
        <v>0</v>
      </c>
      <c r="J239" s="42">
        <f>0.04*C239/100</f>
        <v>3.2000000000000001E-2</v>
      </c>
      <c r="K239" s="42">
        <f>0.11*C239/100</f>
        <v>8.8000000000000009E-2</v>
      </c>
      <c r="L239" s="48">
        <f>0.59*C239/100</f>
        <v>0.47199999999999998</v>
      </c>
      <c r="M239" s="48">
        <f>0.91*C239/100</f>
        <v>0.72799999999999998</v>
      </c>
      <c r="N239" s="48">
        <v>0</v>
      </c>
      <c r="O239" s="42">
        <f>0.01*C239/100</f>
        <v>8.0000000000000002E-3</v>
      </c>
      <c r="P239" s="49">
        <f>0.14*C239/100</f>
        <v>0.11200000000000002</v>
      </c>
      <c r="Q239" s="49">
        <v>1.1000000000000001</v>
      </c>
      <c r="R239" s="233">
        <v>120521</v>
      </c>
      <c r="S239" s="231">
        <v>120522</v>
      </c>
    </row>
    <row r="240" spans="1:19" s="63" customFormat="1" x14ac:dyDescent="0.2">
      <c r="A240" s="49">
        <v>5</v>
      </c>
      <c r="B240" s="47" t="s">
        <v>136</v>
      </c>
      <c r="C240" s="41">
        <v>150</v>
      </c>
      <c r="D240" s="42">
        <f>1.6*C240/100</f>
        <v>2.4</v>
      </c>
      <c r="E240" s="42">
        <f>3.1*C240/100</f>
        <v>4.6500000000000004</v>
      </c>
      <c r="F240" s="42">
        <f>10.1*C240/100</f>
        <v>15.15</v>
      </c>
      <c r="G240" s="42">
        <f>75*C240/100</f>
        <v>112.5</v>
      </c>
      <c r="H240" s="94">
        <f>0.05*C240/100</f>
        <v>7.4999999999999997E-2</v>
      </c>
      <c r="I240" s="94">
        <f>6.26*C240/100</f>
        <v>9.39</v>
      </c>
      <c r="J240" s="94">
        <f>0*C240/100</f>
        <v>0</v>
      </c>
      <c r="K240" s="94">
        <f>1.98*C240/100</f>
        <v>2.97</v>
      </c>
      <c r="L240" s="124">
        <f>21.42*C240/100</f>
        <v>32.130000000000003</v>
      </c>
      <c r="M240" s="124">
        <f>45.07*C240/100</f>
        <v>67.605000000000004</v>
      </c>
      <c r="N240" s="124">
        <f>19.28*C240/100</f>
        <v>28.92</v>
      </c>
      <c r="O240" s="94">
        <f>0.71*C240/100</f>
        <v>1.0649999999999999</v>
      </c>
      <c r="P240" s="49">
        <f>0.05*C240/100</f>
        <v>7.4999999999999997E-2</v>
      </c>
      <c r="Q240" s="49">
        <v>4.8899999999999997</v>
      </c>
      <c r="R240" s="67">
        <v>130203</v>
      </c>
      <c r="S240" s="67">
        <v>130204</v>
      </c>
    </row>
    <row r="241" spans="1:19" s="52" customFormat="1" x14ac:dyDescent="0.2">
      <c r="A241" s="49">
        <v>6</v>
      </c>
      <c r="B241" s="47" t="s">
        <v>123</v>
      </c>
      <c r="C241" s="41">
        <v>200</v>
      </c>
      <c r="D241" s="42">
        <f>0.06*C241/100</f>
        <v>0.12</v>
      </c>
      <c r="E241" s="42">
        <f>0.02*C241/100</f>
        <v>0.04</v>
      </c>
      <c r="F241" s="42">
        <f>8.35*C241/100</f>
        <v>16.7</v>
      </c>
      <c r="G241" s="42">
        <f>25.02*C241/100</f>
        <v>50.04</v>
      </c>
      <c r="H241" s="42">
        <f>0*C241/100</f>
        <v>0</v>
      </c>
      <c r="I241" s="42">
        <f>1.65*C241/100</f>
        <v>3.3</v>
      </c>
      <c r="J241" s="42">
        <f>0*C241/100</f>
        <v>0</v>
      </c>
      <c r="K241" s="42">
        <v>0</v>
      </c>
      <c r="L241" s="48">
        <f>5.76*C241/100</f>
        <v>11.52</v>
      </c>
      <c r="M241" s="48">
        <f>1.21*C241/100</f>
        <v>2.42</v>
      </c>
      <c r="N241" s="48">
        <f>2.55*C241/100</f>
        <v>5.0999999999999996</v>
      </c>
      <c r="O241" s="42">
        <f>0.08*C241/100</f>
        <v>0.16</v>
      </c>
      <c r="P241" s="62">
        <v>0</v>
      </c>
      <c r="Q241" s="62">
        <v>2.3199999999999998</v>
      </c>
      <c r="R241" s="67">
        <v>160206</v>
      </c>
      <c r="S241" s="67"/>
    </row>
    <row r="242" spans="1:19" s="63" customFormat="1" x14ac:dyDescent="0.2">
      <c r="A242" s="49">
        <v>7</v>
      </c>
      <c r="B242" s="47" t="s">
        <v>160</v>
      </c>
      <c r="C242" s="41">
        <v>40</v>
      </c>
      <c r="D242" s="42">
        <f>7.76*C242/100</f>
        <v>3.1039999999999996</v>
      </c>
      <c r="E242" s="42">
        <f>2.65*C242/100</f>
        <v>1.06</v>
      </c>
      <c r="F242" s="42">
        <f>53.25*C242/100</f>
        <v>21.3</v>
      </c>
      <c r="G242" s="42">
        <f>273*C242/100</f>
        <v>109.2</v>
      </c>
      <c r="H242" s="42">
        <f>0.34*C242/100</f>
        <v>0.13600000000000001</v>
      </c>
      <c r="I242" s="42">
        <f>0*C242/100</f>
        <v>0</v>
      </c>
      <c r="J242" s="42">
        <v>0</v>
      </c>
      <c r="K242" s="42">
        <f>1.5*C242/100</f>
        <v>0.6</v>
      </c>
      <c r="L242" s="48">
        <f>148.1*C242/100</f>
        <v>59.24</v>
      </c>
      <c r="M242" s="48">
        <f>0*C242/100</f>
        <v>0</v>
      </c>
      <c r="N242" s="48">
        <f>16*C242/100</f>
        <v>6.4</v>
      </c>
      <c r="O242" s="42">
        <f>2.4*C242/100</f>
        <v>0.96</v>
      </c>
      <c r="P242" s="56">
        <f>0.2*C242/100</f>
        <v>0.08</v>
      </c>
      <c r="Q242" s="56">
        <f>1.5*C242/100</f>
        <v>0.6</v>
      </c>
      <c r="R242" s="67">
        <v>200102</v>
      </c>
      <c r="S242" s="67"/>
    </row>
    <row r="243" spans="1:19" s="63" customFormat="1" x14ac:dyDescent="0.2">
      <c r="A243" s="49">
        <v>8</v>
      </c>
      <c r="B243" s="47" t="s">
        <v>222</v>
      </c>
      <c r="C243" s="41">
        <v>40</v>
      </c>
      <c r="D243" s="42">
        <f>9.4*C243/100</f>
        <v>3.76</v>
      </c>
      <c r="E243" s="42">
        <f>5.8*C243/100</f>
        <v>2.3199999999999998</v>
      </c>
      <c r="F243" s="42">
        <f>52.7*C243/100</f>
        <v>21.08</v>
      </c>
      <c r="G243" s="42">
        <f>300.6*C243/100</f>
        <v>120.24</v>
      </c>
      <c r="H243" s="42">
        <f>0.4*C243/100</f>
        <v>0.16</v>
      </c>
      <c r="I243" s="42">
        <f>0.03*C243/100</f>
        <v>1.2E-2</v>
      </c>
      <c r="J243" s="42">
        <v>0</v>
      </c>
      <c r="K243" s="42">
        <f>1.7*C243/100</f>
        <v>0.68</v>
      </c>
      <c r="L243" s="48">
        <f>25.4*C243/100</f>
        <v>10.16</v>
      </c>
      <c r="M243" s="48">
        <f>105.53*C243/100</f>
        <v>42.211999999999996</v>
      </c>
      <c r="N243" s="48">
        <f>36.5*C243/100</f>
        <v>14.6</v>
      </c>
      <c r="O243" s="42">
        <f>2.45*C243/100</f>
        <v>0.98</v>
      </c>
      <c r="P243" s="56">
        <f>0.2*C243/100</f>
        <v>0.08</v>
      </c>
      <c r="Q243" s="56">
        <v>0</v>
      </c>
      <c r="R243" s="67">
        <v>190101</v>
      </c>
      <c r="S243" s="67"/>
    </row>
    <row r="244" spans="1:19" s="4" customFormat="1" ht="18.75" customHeight="1" x14ac:dyDescent="0.25">
      <c r="A244" s="49"/>
      <c r="B244" s="218" t="s">
        <v>4</v>
      </c>
      <c r="C244" s="120"/>
      <c r="D244" s="170">
        <f t="shared" ref="D244:Q244" si="40">SUM(D236:D243)</f>
        <v>20.122</v>
      </c>
      <c r="E244" s="170">
        <f t="shared" si="40"/>
        <v>20.396999999999998</v>
      </c>
      <c r="F244" s="170">
        <f t="shared" si="40"/>
        <v>108.61899999999999</v>
      </c>
      <c r="G244" s="170">
        <f t="shared" si="40"/>
        <v>684.53100000000006</v>
      </c>
      <c r="H244" s="170">
        <f t="shared" si="40"/>
        <v>0.60199999999999998</v>
      </c>
      <c r="I244" s="170">
        <f t="shared" si="40"/>
        <v>74.841999999999999</v>
      </c>
      <c r="J244" s="170">
        <f t="shared" si="40"/>
        <v>6.1716000000000007E-2</v>
      </c>
      <c r="K244" s="170">
        <f t="shared" si="40"/>
        <v>5.1769999999999996</v>
      </c>
      <c r="L244" s="170">
        <f t="shared" si="40"/>
        <v>203.40700000000001</v>
      </c>
      <c r="M244" s="170">
        <f t="shared" si="40"/>
        <v>274.16700000000003</v>
      </c>
      <c r="N244" s="170">
        <f t="shared" si="40"/>
        <v>101.518</v>
      </c>
      <c r="O244" s="170">
        <f t="shared" si="40"/>
        <v>8.6951999999999998</v>
      </c>
      <c r="P244" s="172">
        <f t="shared" si="40"/>
        <v>0.59599999999999997</v>
      </c>
      <c r="Q244" s="172">
        <f t="shared" si="40"/>
        <v>15.159999999999998</v>
      </c>
      <c r="R244" s="122"/>
      <c r="S244" s="122"/>
    </row>
    <row r="245" spans="1:19" s="4" customFormat="1" x14ac:dyDescent="0.25">
      <c r="A245" s="300" t="s">
        <v>35</v>
      </c>
      <c r="B245" s="301"/>
      <c r="C245" s="301"/>
      <c r="D245" s="301"/>
      <c r="E245" s="301"/>
      <c r="F245" s="301"/>
      <c r="G245" s="301"/>
      <c r="H245" s="301"/>
      <c r="I245" s="301"/>
      <c r="J245" s="301"/>
      <c r="K245" s="301"/>
      <c r="L245" s="301"/>
      <c r="M245" s="301"/>
      <c r="N245" s="301"/>
      <c r="O245" s="301"/>
      <c r="P245" s="301"/>
      <c r="Q245" s="301"/>
      <c r="R245" s="301"/>
      <c r="S245" s="347"/>
    </row>
    <row r="246" spans="1:19" s="63" customFormat="1" x14ac:dyDescent="0.2">
      <c r="A246" s="49">
        <v>1</v>
      </c>
      <c r="B246" s="47" t="s">
        <v>34</v>
      </c>
      <c r="C246" s="41">
        <v>50</v>
      </c>
      <c r="D246" s="184">
        <f>5.7*C246/100</f>
        <v>2.85</v>
      </c>
      <c r="E246" s="184">
        <f>20.3*C246/100</f>
        <v>10.15</v>
      </c>
      <c r="F246" s="184">
        <f>57.3*C246/100</f>
        <v>28.65</v>
      </c>
      <c r="G246" s="184">
        <f>430.7*C246/100</f>
        <v>215.35</v>
      </c>
      <c r="H246" s="42">
        <f>0.12*C246/100</f>
        <v>0.06</v>
      </c>
      <c r="I246" s="42">
        <f>0*C246/100</f>
        <v>0</v>
      </c>
      <c r="J246" s="42">
        <f>0.13*C246/100</f>
        <v>6.5000000000000002E-2</v>
      </c>
      <c r="K246" s="42">
        <f>5.55*C246/100</f>
        <v>2.7749999999999999</v>
      </c>
      <c r="L246" s="48">
        <f>44.66*C246/100</f>
        <v>22.33</v>
      </c>
      <c r="M246" s="48">
        <f>148.03*C246/100</f>
        <v>74.015000000000001</v>
      </c>
      <c r="N246" s="48">
        <f>21.6*C246/100</f>
        <v>10.8</v>
      </c>
      <c r="O246" s="42">
        <f>1.35*C246/100</f>
        <v>0.67500000000000004</v>
      </c>
      <c r="P246" s="49">
        <v>0.03</v>
      </c>
      <c r="Q246" s="49">
        <v>0.83</v>
      </c>
      <c r="R246" s="67">
        <v>170601</v>
      </c>
      <c r="S246" s="67">
        <v>170602</v>
      </c>
    </row>
    <row r="247" spans="1:19" s="66" customFormat="1" x14ac:dyDescent="0.2">
      <c r="A247" s="49">
        <v>2</v>
      </c>
      <c r="B247" s="47" t="s">
        <v>231</v>
      </c>
      <c r="C247" s="41">
        <v>200</v>
      </c>
      <c r="D247" s="60">
        <f>0.7*C247/100</f>
        <v>1.4</v>
      </c>
      <c r="E247" s="60">
        <v>0</v>
      </c>
      <c r="F247" s="60">
        <f>12*C247/100</f>
        <v>24</v>
      </c>
      <c r="G247" s="60">
        <f>48*C247/100</f>
        <v>96</v>
      </c>
      <c r="H247" s="42">
        <f>0.105*C247/100</f>
        <v>0.21</v>
      </c>
      <c r="I247" s="42">
        <f>2*C247/100</f>
        <v>4</v>
      </c>
      <c r="J247" s="42">
        <f>0.03*C247/100</f>
        <v>0.06</v>
      </c>
      <c r="K247" s="42">
        <f>0.35*C247/100</f>
        <v>0.7</v>
      </c>
      <c r="L247" s="48">
        <f>10.5*C247/100</f>
        <v>21</v>
      </c>
      <c r="M247" s="48">
        <f>8*C247/100</f>
        <v>16</v>
      </c>
      <c r="N247" s="48">
        <f>11.5*C247/100</f>
        <v>23</v>
      </c>
      <c r="O247" s="49">
        <f>0.35*C247/100</f>
        <v>0.7</v>
      </c>
      <c r="P247" s="49">
        <v>0</v>
      </c>
      <c r="Q247" s="49">
        <v>0.4</v>
      </c>
      <c r="R247" s="67"/>
      <c r="S247" s="67"/>
    </row>
    <row r="248" spans="1:19" s="4" customFormat="1" ht="20.25" customHeight="1" x14ac:dyDescent="0.25">
      <c r="A248" s="49"/>
      <c r="B248" s="218" t="s">
        <v>4</v>
      </c>
      <c r="C248" s="120"/>
      <c r="D248" s="172">
        <f t="shared" ref="D248:Q248" si="41">SUM(D246:D247)</f>
        <v>4.25</v>
      </c>
      <c r="E248" s="172">
        <f t="shared" si="41"/>
        <v>10.15</v>
      </c>
      <c r="F248" s="172">
        <f t="shared" si="41"/>
        <v>52.65</v>
      </c>
      <c r="G248" s="172">
        <f t="shared" si="41"/>
        <v>311.35000000000002</v>
      </c>
      <c r="H248" s="172">
        <f t="shared" si="41"/>
        <v>0.27</v>
      </c>
      <c r="I248" s="172">
        <f t="shared" si="41"/>
        <v>4</v>
      </c>
      <c r="J248" s="172">
        <f t="shared" si="41"/>
        <v>0.125</v>
      </c>
      <c r="K248" s="172">
        <f t="shared" si="41"/>
        <v>3.4749999999999996</v>
      </c>
      <c r="L248" s="172">
        <f t="shared" si="41"/>
        <v>43.33</v>
      </c>
      <c r="M248" s="172">
        <f t="shared" si="41"/>
        <v>90.015000000000001</v>
      </c>
      <c r="N248" s="172">
        <f t="shared" si="41"/>
        <v>33.799999999999997</v>
      </c>
      <c r="O248" s="172">
        <f t="shared" si="41"/>
        <v>1.375</v>
      </c>
      <c r="P248" s="172">
        <f t="shared" si="41"/>
        <v>0.03</v>
      </c>
      <c r="Q248" s="172">
        <f t="shared" si="41"/>
        <v>1.23</v>
      </c>
      <c r="R248" s="122"/>
      <c r="S248" s="122"/>
    </row>
    <row r="249" spans="1:19" s="4" customFormat="1" ht="20.25" customHeight="1" x14ac:dyDescent="0.25">
      <c r="A249" s="49"/>
      <c r="B249" s="218" t="s">
        <v>7</v>
      </c>
      <c r="C249" s="120"/>
      <c r="D249" s="170">
        <f t="shared" ref="D249:Q249" si="42">D234+D244+D248</f>
        <v>48.424000000000007</v>
      </c>
      <c r="E249" s="170">
        <f t="shared" si="42"/>
        <v>55.446999999999996</v>
      </c>
      <c r="F249" s="170">
        <f t="shared" si="42"/>
        <v>211.70899999999997</v>
      </c>
      <c r="G249" s="170">
        <f t="shared" si="42"/>
        <v>1552.9110000000001</v>
      </c>
      <c r="H249" s="170">
        <f t="shared" si="42"/>
        <v>1.0840000000000001</v>
      </c>
      <c r="I249" s="170">
        <f t="shared" si="42"/>
        <v>118.752</v>
      </c>
      <c r="J249" s="170">
        <f t="shared" si="42"/>
        <v>0.33171600000000001</v>
      </c>
      <c r="K249" s="170">
        <f t="shared" si="42"/>
        <v>9.8719999999999999</v>
      </c>
      <c r="L249" s="170">
        <f t="shared" si="42"/>
        <v>528.7170000000001</v>
      </c>
      <c r="M249" s="170">
        <f t="shared" si="42"/>
        <v>688.00699999999995</v>
      </c>
      <c r="N249" s="170">
        <f t="shared" si="42"/>
        <v>179.65800000000002</v>
      </c>
      <c r="O249" s="170">
        <f t="shared" si="42"/>
        <v>11.6442</v>
      </c>
      <c r="P249" s="170">
        <f t="shared" si="42"/>
        <v>1.0840000000000001</v>
      </c>
      <c r="Q249" s="170">
        <f t="shared" si="42"/>
        <v>20.984999999999999</v>
      </c>
      <c r="R249" s="122"/>
      <c r="S249" s="122"/>
    </row>
    <row r="250" spans="1:19" s="4" customFormat="1" ht="19.5" customHeight="1" thickBot="1" x14ac:dyDescent="0.3">
      <c r="A250" s="300" t="s">
        <v>50</v>
      </c>
      <c r="B250" s="301"/>
      <c r="C250" s="301"/>
      <c r="D250" s="301"/>
      <c r="E250" s="301"/>
      <c r="F250" s="301"/>
      <c r="G250" s="301"/>
      <c r="H250" s="301"/>
      <c r="I250" s="301"/>
      <c r="J250" s="301"/>
      <c r="K250" s="301"/>
      <c r="L250" s="301"/>
      <c r="M250" s="301"/>
      <c r="N250" s="301"/>
      <c r="O250" s="301"/>
      <c r="P250" s="301"/>
      <c r="Q250" s="301"/>
      <c r="R250" s="301"/>
      <c r="S250" s="347"/>
    </row>
    <row r="251" spans="1:19" s="4" customFormat="1" x14ac:dyDescent="0.25">
      <c r="A251" s="304" t="s">
        <v>3</v>
      </c>
      <c r="B251" s="305"/>
      <c r="C251" s="305"/>
      <c r="D251" s="305"/>
      <c r="E251" s="305"/>
      <c r="F251" s="305"/>
      <c r="G251" s="305"/>
      <c r="H251" s="305"/>
      <c r="I251" s="305"/>
      <c r="J251" s="305"/>
      <c r="K251" s="305"/>
      <c r="L251" s="305"/>
      <c r="M251" s="305"/>
      <c r="N251" s="305"/>
      <c r="O251" s="305"/>
      <c r="P251" s="305"/>
      <c r="Q251" s="305"/>
      <c r="R251" s="305"/>
      <c r="S251" s="346"/>
    </row>
    <row r="252" spans="1:19" s="63" customFormat="1" x14ac:dyDescent="0.2">
      <c r="A252" s="49">
        <v>1</v>
      </c>
      <c r="B252" s="47" t="s">
        <v>262</v>
      </c>
      <c r="C252" s="41">
        <v>150</v>
      </c>
      <c r="D252" s="176">
        <f>3.8*C252/100</f>
        <v>5.7</v>
      </c>
      <c r="E252" s="176">
        <f>4.5*C252/100</f>
        <v>6.75</v>
      </c>
      <c r="F252" s="176">
        <f>17.2*C252/100</f>
        <v>25.8</v>
      </c>
      <c r="G252" s="176">
        <f>124.4*C252/100</f>
        <v>186.6</v>
      </c>
      <c r="H252" s="42">
        <f>0.21*C252/100</f>
        <v>0.315</v>
      </c>
      <c r="I252" s="42">
        <f>7.6*C252/100</f>
        <v>11.4</v>
      </c>
      <c r="J252" s="42">
        <f>0.02*C252/100</f>
        <v>0.03</v>
      </c>
      <c r="K252" s="42">
        <f>0.06*C252/100</f>
        <v>0.09</v>
      </c>
      <c r="L252" s="48">
        <f>5.3*C252/100</f>
        <v>7.95</v>
      </c>
      <c r="M252" s="48">
        <f>68.9*C252/100</f>
        <v>103.35</v>
      </c>
      <c r="N252" s="48">
        <f>46.53*C252/100</f>
        <v>69.795000000000002</v>
      </c>
      <c r="O252" s="42">
        <f>1.57*C252/100</f>
        <v>2.355</v>
      </c>
      <c r="P252" s="49">
        <f>0.05*C252/100</f>
        <v>7.4999999999999997E-2</v>
      </c>
      <c r="Q252" s="49">
        <f>0.34*C252/100</f>
        <v>0.51000000000000012</v>
      </c>
      <c r="R252" s="233">
        <v>120207</v>
      </c>
      <c r="S252" s="233">
        <v>120208</v>
      </c>
    </row>
    <row r="253" spans="1:19" s="63" customFormat="1" x14ac:dyDescent="0.2">
      <c r="A253" s="49">
        <v>2</v>
      </c>
      <c r="B253" s="47" t="s">
        <v>31</v>
      </c>
      <c r="C253" s="59">
        <v>200</v>
      </c>
      <c r="D253" s="60">
        <v>0</v>
      </c>
      <c r="E253" s="60">
        <v>0</v>
      </c>
      <c r="F253" s="60">
        <f>4.99*C253/100</f>
        <v>9.98</v>
      </c>
      <c r="G253" s="42">
        <f>19.95*C253/100</f>
        <v>39.9</v>
      </c>
      <c r="H253" s="42">
        <v>0</v>
      </c>
      <c r="I253" s="42">
        <v>0</v>
      </c>
      <c r="J253" s="42">
        <v>0</v>
      </c>
      <c r="K253" s="42">
        <v>0</v>
      </c>
      <c r="L253" s="48">
        <f>8.15*C253/100</f>
        <v>16.3</v>
      </c>
      <c r="M253" s="48">
        <f>0.02*C253/100</f>
        <v>0.04</v>
      </c>
      <c r="N253" s="48">
        <f>1.79*C253/100</f>
        <v>3.58</v>
      </c>
      <c r="O253" s="42">
        <f>0.02*C253/100</f>
        <v>0.04</v>
      </c>
      <c r="P253" s="49">
        <f>0.01*C253/100</f>
        <v>0.02</v>
      </c>
      <c r="Q253" s="49">
        <v>0.48</v>
      </c>
      <c r="R253" s="67">
        <v>160105</v>
      </c>
      <c r="S253" s="67"/>
    </row>
    <row r="254" spans="1:19" s="63" customFormat="1" x14ac:dyDescent="0.2">
      <c r="A254" s="49">
        <v>3</v>
      </c>
      <c r="B254" s="47" t="s">
        <v>160</v>
      </c>
      <c r="C254" s="41">
        <v>20</v>
      </c>
      <c r="D254" s="42">
        <f>7.76*C254/100</f>
        <v>1.5519999999999998</v>
      </c>
      <c r="E254" s="42">
        <f>2.65*C254/100</f>
        <v>0.53</v>
      </c>
      <c r="F254" s="42">
        <f>53.25*C254/100</f>
        <v>10.65</v>
      </c>
      <c r="G254" s="42">
        <f>273*C254/100</f>
        <v>54.6</v>
      </c>
      <c r="H254" s="42">
        <f>0.34*C254/100</f>
        <v>6.8000000000000005E-2</v>
      </c>
      <c r="I254" s="42">
        <f>0*C254/100</f>
        <v>0</v>
      </c>
      <c r="J254" s="42">
        <v>0</v>
      </c>
      <c r="K254" s="42">
        <f>1.5*C254/100</f>
        <v>0.3</v>
      </c>
      <c r="L254" s="48">
        <f>148.1*C254/100</f>
        <v>29.62</v>
      </c>
      <c r="M254" s="48">
        <f>0*C254/100</f>
        <v>0</v>
      </c>
      <c r="N254" s="48">
        <f>16*C254/100</f>
        <v>3.2</v>
      </c>
      <c r="O254" s="42">
        <f>2.4*C254/100</f>
        <v>0.48</v>
      </c>
      <c r="P254" s="56">
        <f>0.2*C254/100</f>
        <v>0.04</v>
      </c>
      <c r="Q254" s="56">
        <f>1.5*C254/100</f>
        <v>0.3</v>
      </c>
      <c r="R254" s="67">
        <v>200102</v>
      </c>
      <c r="S254" s="67"/>
    </row>
    <row r="255" spans="1:19" s="65" customFormat="1" ht="56.25" x14ac:dyDescent="0.2">
      <c r="A255" s="49">
        <v>4</v>
      </c>
      <c r="B255" s="178" t="s">
        <v>188</v>
      </c>
      <c r="C255" s="179">
        <v>20</v>
      </c>
      <c r="D255" s="180">
        <f>26*C255/100</f>
        <v>5.2</v>
      </c>
      <c r="E255" s="180">
        <f>26.1*C255/100</f>
        <v>5.22</v>
      </c>
      <c r="F255" s="180">
        <f>0*C255/100</f>
        <v>0</v>
      </c>
      <c r="G255" s="62">
        <f>344*C255/100</f>
        <v>68.8</v>
      </c>
      <c r="H255" s="56">
        <f>0.03*C255/100</f>
        <v>6.0000000000000001E-3</v>
      </c>
      <c r="I255" s="56">
        <f>0.8*C255/100</f>
        <v>0.16</v>
      </c>
      <c r="J255" s="56">
        <f>0.23*C255/100</f>
        <v>4.6000000000000006E-2</v>
      </c>
      <c r="K255" s="56">
        <f>0.5*C255/100</f>
        <v>0.1</v>
      </c>
      <c r="L255" s="123">
        <f>1000*C255/100</f>
        <v>200</v>
      </c>
      <c r="M255" s="123">
        <f>650*C255/100</f>
        <v>130</v>
      </c>
      <c r="N255" s="123">
        <f>45*C255/100</f>
        <v>9</v>
      </c>
      <c r="O255" s="56">
        <f>0.8*C255/100</f>
        <v>0.16</v>
      </c>
      <c r="P255" s="56">
        <f>0.3*C255/100</f>
        <v>0.06</v>
      </c>
      <c r="Q255" s="56">
        <v>0</v>
      </c>
      <c r="R255" s="67">
        <v>100102</v>
      </c>
      <c r="S255" s="181"/>
    </row>
    <row r="256" spans="1:19" s="53" customFormat="1" ht="18.75" customHeight="1" x14ac:dyDescent="0.3">
      <c r="A256" s="49">
        <v>5</v>
      </c>
      <c r="B256" s="47" t="s">
        <v>232</v>
      </c>
      <c r="C256" s="41" t="s">
        <v>274</v>
      </c>
      <c r="D256" s="42">
        <v>3.3</v>
      </c>
      <c r="E256" s="42">
        <v>1.1000000000000001</v>
      </c>
      <c r="F256" s="42">
        <v>46.2</v>
      </c>
      <c r="G256" s="42">
        <v>211.2</v>
      </c>
      <c r="H256" s="42">
        <v>8.8000000000000009E-2</v>
      </c>
      <c r="I256" s="42">
        <v>22</v>
      </c>
      <c r="J256" s="42">
        <v>0</v>
      </c>
      <c r="K256" s="42">
        <v>0.88</v>
      </c>
      <c r="L256" s="42">
        <v>17.600000000000001</v>
      </c>
      <c r="M256" s="42">
        <v>61.6</v>
      </c>
      <c r="N256" s="42">
        <v>92.4</v>
      </c>
      <c r="O256" s="42">
        <v>2.2000000000000001E-3</v>
      </c>
      <c r="P256" s="55">
        <v>0.11</v>
      </c>
      <c r="Q256" s="55">
        <v>0</v>
      </c>
      <c r="R256" s="122">
        <v>210103</v>
      </c>
      <c r="S256" s="122"/>
    </row>
    <row r="257" spans="1:19" s="4" customFormat="1" x14ac:dyDescent="0.25">
      <c r="A257" s="49"/>
      <c r="B257" s="218" t="s">
        <v>4</v>
      </c>
      <c r="C257" s="120"/>
      <c r="D257" s="172">
        <f t="shared" ref="D257:Q257" si="43">SUM(D252:D256)</f>
        <v>15.751999999999999</v>
      </c>
      <c r="E257" s="172">
        <f t="shared" si="43"/>
        <v>13.6</v>
      </c>
      <c r="F257" s="172">
        <f t="shared" si="43"/>
        <v>92.63</v>
      </c>
      <c r="G257" s="172">
        <f t="shared" si="43"/>
        <v>561.1</v>
      </c>
      <c r="H257" s="172">
        <f t="shared" si="43"/>
        <v>0.47700000000000004</v>
      </c>
      <c r="I257" s="172">
        <f t="shared" si="43"/>
        <v>33.56</v>
      </c>
      <c r="J257" s="172">
        <f t="shared" si="43"/>
        <v>7.6000000000000012E-2</v>
      </c>
      <c r="K257" s="172">
        <f t="shared" si="43"/>
        <v>1.37</v>
      </c>
      <c r="L257" s="172">
        <f t="shared" si="43"/>
        <v>271.47000000000003</v>
      </c>
      <c r="M257" s="172">
        <f t="shared" si="43"/>
        <v>294.99</v>
      </c>
      <c r="N257" s="172">
        <f t="shared" si="43"/>
        <v>177.97500000000002</v>
      </c>
      <c r="O257" s="172">
        <f t="shared" si="43"/>
        <v>3.0372000000000003</v>
      </c>
      <c r="P257" s="172">
        <f t="shared" si="43"/>
        <v>0.30499999999999999</v>
      </c>
      <c r="Q257" s="172">
        <f t="shared" si="43"/>
        <v>1.29</v>
      </c>
      <c r="R257" s="122"/>
      <c r="S257" s="122"/>
    </row>
    <row r="258" spans="1:19" s="4" customFormat="1" x14ac:dyDescent="0.25">
      <c r="A258" s="300" t="s">
        <v>5</v>
      </c>
      <c r="B258" s="301"/>
      <c r="C258" s="301"/>
      <c r="D258" s="301"/>
      <c r="E258" s="301"/>
      <c r="F258" s="301"/>
      <c r="G258" s="301"/>
      <c r="H258" s="301"/>
      <c r="I258" s="301"/>
      <c r="J258" s="301"/>
      <c r="K258" s="301"/>
      <c r="L258" s="301"/>
      <c r="M258" s="301"/>
      <c r="N258" s="301"/>
      <c r="O258" s="301"/>
      <c r="P258" s="301"/>
      <c r="Q258" s="301"/>
      <c r="R258" s="301"/>
      <c r="S258" s="347"/>
    </row>
    <row r="259" spans="1:19" s="64" customFormat="1" x14ac:dyDescent="0.3">
      <c r="A259" s="49">
        <v>1</v>
      </c>
      <c r="B259" s="47" t="s">
        <v>189</v>
      </c>
      <c r="C259" s="41">
        <v>60</v>
      </c>
      <c r="D259" s="42">
        <f>1*C259/100</f>
        <v>0.6</v>
      </c>
      <c r="E259" s="42">
        <f>14.12*C259/100</f>
        <v>8.4719999999999995</v>
      </c>
      <c r="F259" s="42">
        <f>2*C259/100</f>
        <v>1.2</v>
      </c>
      <c r="G259" s="42">
        <f>138.92*C259/100</f>
        <v>83.35199999999999</v>
      </c>
      <c r="H259" s="42">
        <f>0.02*C259/100</f>
        <v>1.2E-2</v>
      </c>
      <c r="I259" s="42">
        <f>9.25*C259/100</f>
        <v>5.55</v>
      </c>
      <c r="J259" s="42">
        <v>0</v>
      </c>
      <c r="K259" s="42">
        <f>2.44*C259/100</f>
        <v>1.464</v>
      </c>
      <c r="L259" s="42">
        <f>43.77*C259/100</f>
        <v>26.262000000000004</v>
      </c>
      <c r="M259" s="42">
        <f>33.3*C259/100</f>
        <v>19.979999999999997</v>
      </c>
      <c r="N259" s="42">
        <f>23.68*C259/100</f>
        <v>14.208</v>
      </c>
      <c r="O259" s="42">
        <f>0.52*C259/100</f>
        <v>0.31200000000000006</v>
      </c>
      <c r="P259" s="55">
        <f>0.05*C259/100</f>
        <v>0.03</v>
      </c>
      <c r="Q259" s="55">
        <v>2.76</v>
      </c>
      <c r="R259" s="131">
        <v>100205</v>
      </c>
      <c r="S259" s="122"/>
    </row>
    <row r="260" spans="1:19" s="63" customFormat="1" x14ac:dyDescent="0.2">
      <c r="A260" s="49">
        <v>2</v>
      </c>
      <c r="B260" s="47" t="s">
        <v>175</v>
      </c>
      <c r="C260" s="41">
        <v>250</v>
      </c>
      <c r="D260" s="42">
        <f>0.75*C260/100</f>
        <v>1.875</v>
      </c>
      <c r="E260" s="42">
        <f>3.7*C260/100</f>
        <v>9.25</v>
      </c>
      <c r="F260" s="42">
        <f>4.26*C260/100</f>
        <v>10.65</v>
      </c>
      <c r="G260" s="42">
        <f>53.32*C260/100</f>
        <v>133.30000000000001</v>
      </c>
      <c r="H260" s="42">
        <f>0.05*C260/100</f>
        <v>0.125</v>
      </c>
      <c r="I260" s="42">
        <f>4.25*C260/100</f>
        <v>10.625</v>
      </c>
      <c r="J260" s="42">
        <f>0.01*C260/100</f>
        <v>2.5000000000000001E-2</v>
      </c>
      <c r="K260" s="42">
        <f>0.12*C260/100</f>
        <v>0.3</v>
      </c>
      <c r="L260" s="48">
        <f>24.69*C260/100</f>
        <v>61.725000000000001</v>
      </c>
      <c r="M260" s="48">
        <f>75.17*C260/100</f>
        <v>187.92500000000001</v>
      </c>
      <c r="N260" s="48">
        <f>20.2*C260/100</f>
        <v>50.5</v>
      </c>
      <c r="O260" s="42">
        <f>2.38*C260/100</f>
        <v>5.95</v>
      </c>
      <c r="P260" s="49">
        <f>0.07*C260/100</f>
        <v>0.17499999999999999</v>
      </c>
      <c r="Q260" s="49">
        <v>3.63</v>
      </c>
      <c r="R260" s="233">
        <v>110103</v>
      </c>
      <c r="S260" s="233">
        <v>110104</v>
      </c>
    </row>
    <row r="261" spans="1:19" s="63" customFormat="1" x14ac:dyDescent="0.2">
      <c r="A261" s="49">
        <v>3</v>
      </c>
      <c r="B261" s="47" t="s">
        <v>120</v>
      </c>
      <c r="C261" s="41">
        <v>80</v>
      </c>
      <c r="D261" s="42">
        <f>18.2*C261/100</f>
        <v>14.56</v>
      </c>
      <c r="E261" s="42">
        <f>2.3*C261/100</f>
        <v>1.84</v>
      </c>
      <c r="F261" s="42">
        <f>2.2*C261/100</f>
        <v>1.76</v>
      </c>
      <c r="G261" s="42">
        <f>102.4*C261/100</f>
        <v>81.92</v>
      </c>
      <c r="H261" s="42">
        <f>0.06*C261/100</f>
        <v>4.8000000000000001E-2</v>
      </c>
      <c r="I261" s="42">
        <f>0*C261/100</f>
        <v>0</v>
      </c>
      <c r="J261" s="42">
        <f>0.05*C261/100</f>
        <v>0.04</v>
      </c>
      <c r="K261" s="42">
        <f>0.06*C261/100</f>
        <v>4.8000000000000001E-2</v>
      </c>
      <c r="L261" s="48">
        <f>0.71*C261/100</f>
        <v>0.56799999999999995</v>
      </c>
      <c r="M261" s="48">
        <f>1.12*C261/100</f>
        <v>0.89600000000000013</v>
      </c>
      <c r="N261" s="48">
        <f>0*C261/100</f>
        <v>0</v>
      </c>
      <c r="O261" s="42">
        <f>0.01*C261/100</f>
        <v>8.0000000000000002E-3</v>
      </c>
      <c r="P261" s="49">
        <f>1.68*C261/100</f>
        <v>1.3440000000000001</v>
      </c>
      <c r="Q261" s="49">
        <v>0</v>
      </c>
      <c r="R261" s="67">
        <v>120403</v>
      </c>
      <c r="S261" s="67">
        <v>120404</v>
      </c>
    </row>
    <row r="262" spans="1:19" s="63" customFormat="1" x14ac:dyDescent="0.2">
      <c r="A262" s="49">
        <v>4</v>
      </c>
      <c r="B262" s="47" t="s">
        <v>118</v>
      </c>
      <c r="C262" s="41">
        <v>30</v>
      </c>
      <c r="D262" s="42">
        <f>0.6*C262/100</f>
        <v>0.18</v>
      </c>
      <c r="E262" s="42">
        <f>4.4*C262/100</f>
        <v>1.32</v>
      </c>
      <c r="F262" s="42">
        <f>6.6*C262/100</f>
        <v>1.98</v>
      </c>
      <c r="G262" s="42">
        <f>68.4*C262/100</f>
        <v>20.52</v>
      </c>
      <c r="H262" s="42">
        <f>0.3*C262/100</f>
        <v>0.09</v>
      </c>
      <c r="I262" s="42">
        <f>15*C262/100</f>
        <v>4.5</v>
      </c>
      <c r="J262" s="42">
        <f>0.35*C262/100</f>
        <v>0.105</v>
      </c>
      <c r="K262" s="42">
        <f>0*C262/100</f>
        <v>0</v>
      </c>
      <c r="L262" s="48">
        <v>0</v>
      </c>
      <c r="M262" s="48">
        <v>0</v>
      </c>
      <c r="N262" s="48">
        <v>0</v>
      </c>
      <c r="O262" s="42">
        <v>0</v>
      </c>
      <c r="P262" s="49">
        <f>0.3*C262/100</f>
        <v>0.09</v>
      </c>
      <c r="Q262" s="49">
        <f>1.3*C262/100</f>
        <v>0.39</v>
      </c>
      <c r="R262" s="67">
        <v>140101</v>
      </c>
      <c r="S262" s="183">
        <v>140102</v>
      </c>
    </row>
    <row r="263" spans="1:19" s="64" customFormat="1" ht="18.75" customHeight="1" x14ac:dyDescent="0.25">
      <c r="A263" s="49">
        <v>5</v>
      </c>
      <c r="B263" s="47" t="s">
        <v>114</v>
      </c>
      <c r="C263" s="41">
        <v>150</v>
      </c>
      <c r="D263" s="42">
        <f>3.1*C263/100</f>
        <v>4.6500000000000004</v>
      </c>
      <c r="E263" s="42">
        <f>2.8*C263/100</f>
        <v>4.2</v>
      </c>
      <c r="F263" s="42">
        <f>30.3*C263/100</f>
        <v>45.45</v>
      </c>
      <c r="G263" s="42">
        <f>166.8*C263/100</f>
        <v>250.2</v>
      </c>
      <c r="H263" s="42">
        <f>0.04*C263/100</f>
        <v>0.06</v>
      </c>
      <c r="I263" s="42">
        <f>0*C263/100</f>
        <v>0</v>
      </c>
      <c r="J263" s="42">
        <f>0.02*C263/100</f>
        <v>0.03</v>
      </c>
      <c r="K263" s="42">
        <f>0.05*C263/100</f>
        <v>7.4999999999999997E-2</v>
      </c>
      <c r="L263" s="48">
        <f>3.95*C263/100</f>
        <v>5.9249999999999998</v>
      </c>
      <c r="M263" s="48">
        <f>23.34*C263/100</f>
        <v>35.01</v>
      </c>
      <c r="N263" s="48">
        <f>5.12*C263/100</f>
        <v>7.68</v>
      </c>
      <c r="O263" s="42">
        <f>0.5*C263/100</f>
        <v>0.75</v>
      </c>
      <c r="P263" s="49">
        <f>0.01*C263/100</f>
        <v>1.4999999999999999E-2</v>
      </c>
      <c r="Q263" s="49">
        <f>1.5*C263/100</f>
        <v>2.25</v>
      </c>
      <c r="R263" s="122">
        <v>130401</v>
      </c>
      <c r="S263" s="122">
        <v>130402</v>
      </c>
    </row>
    <row r="264" spans="1:19" s="37" customFormat="1" ht="22.5" customHeight="1" x14ac:dyDescent="0.2">
      <c r="A264" s="49">
        <v>6</v>
      </c>
      <c r="B264" s="47" t="s">
        <v>228</v>
      </c>
      <c r="C264" s="41">
        <v>200</v>
      </c>
      <c r="D264" s="42">
        <f>0.4*C264/100</f>
        <v>0.8</v>
      </c>
      <c r="E264" s="42">
        <f>0.06*C264/100</f>
        <v>0.12</v>
      </c>
      <c r="F264" s="42">
        <f>13.24*C264/100</f>
        <v>26.48</v>
      </c>
      <c r="G264" s="42">
        <f>46.13*C264/100</f>
        <v>92.26</v>
      </c>
      <c r="H264" s="42">
        <f>0.01*C264/100</f>
        <v>0.02</v>
      </c>
      <c r="I264" s="42">
        <f>0.28*C264/100</f>
        <v>0.56000000000000005</v>
      </c>
      <c r="J264" s="42">
        <f>0*C264/100</f>
        <v>0</v>
      </c>
      <c r="K264" s="42">
        <f>0.02*C264/100</f>
        <v>0.04</v>
      </c>
      <c r="L264" s="48">
        <f>17.8*C264/100</f>
        <v>35.6</v>
      </c>
      <c r="M264" s="48">
        <f>14.97*C264/100</f>
        <v>29.94</v>
      </c>
      <c r="N264" s="48">
        <f>11.17*C264/100</f>
        <v>22.34</v>
      </c>
      <c r="O264" s="42">
        <f>0.39*C264/100</f>
        <v>0.78</v>
      </c>
      <c r="P264" s="62">
        <f>0.02*C264/100</f>
        <v>0.04</v>
      </c>
      <c r="Q264" s="62">
        <v>2.3199999999999998</v>
      </c>
      <c r="R264" s="67">
        <v>160211</v>
      </c>
      <c r="S264" s="67"/>
    </row>
    <row r="265" spans="1:19" s="63" customFormat="1" x14ac:dyDescent="0.2">
      <c r="A265" s="49">
        <v>7</v>
      </c>
      <c r="B265" s="47" t="s">
        <v>160</v>
      </c>
      <c r="C265" s="41">
        <v>40</v>
      </c>
      <c r="D265" s="42">
        <f>7.76*C265/100</f>
        <v>3.1039999999999996</v>
      </c>
      <c r="E265" s="42">
        <f>2.65*C265/100</f>
        <v>1.06</v>
      </c>
      <c r="F265" s="42">
        <f>53.25*C265/100</f>
        <v>21.3</v>
      </c>
      <c r="G265" s="42">
        <f>273*C265/100</f>
        <v>109.2</v>
      </c>
      <c r="H265" s="42">
        <f>0.34*C265/100</f>
        <v>0.13600000000000001</v>
      </c>
      <c r="I265" s="42">
        <f>0*C265/100</f>
        <v>0</v>
      </c>
      <c r="J265" s="42">
        <v>0</v>
      </c>
      <c r="K265" s="42">
        <f>1.5*C265/100</f>
        <v>0.6</v>
      </c>
      <c r="L265" s="48">
        <f>148.1*C265/100</f>
        <v>59.24</v>
      </c>
      <c r="M265" s="48">
        <f>0*C265/100</f>
        <v>0</v>
      </c>
      <c r="N265" s="48">
        <f>16*C265/100</f>
        <v>6.4</v>
      </c>
      <c r="O265" s="42">
        <f>2.4*C265/100</f>
        <v>0.96</v>
      </c>
      <c r="P265" s="56">
        <f>0.2*C265/100</f>
        <v>0.08</v>
      </c>
      <c r="Q265" s="56">
        <f>1.5*C265/100</f>
        <v>0.6</v>
      </c>
      <c r="R265" s="67">
        <v>200102</v>
      </c>
      <c r="S265" s="67"/>
    </row>
    <row r="266" spans="1:19" s="63" customFormat="1" x14ac:dyDescent="0.2">
      <c r="A266" s="49">
        <v>8</v>
      </c>
      <c r="B266" s="47" t="s">
        <v>159</v>
      </c>
      <c r="C266" s="41">
        <v>20</v>
      </c>
      <c r="D266" s="42">
        <f>5.86*C266/100</f>
        <v>1.1719999999999999</v>
      </c>
      <c r="E266" s="42">
        <f>0.94*C266/100</f>
        <v>0.18799999999999997</v>
      </c>
      <c r="F266" s="42">
        <f>44.4*C266/100</f>
        <v>8.8800000000000008</v>
      </c>
      <c r="G266" s="42">
        <f>189*C266/100</f>
        <v>37.799999999999997</v>
      </c>
      <c r="H266" s="42">
        <f>0.4*C266/100</f>
        <v>0.08</v>
      </c>
      <c r="I266" s="42">
        <f>0.03*C266/100</f>
        <v>6.0000000000000001E-3</v>
      </c>
      <c r="J266" s="42">
        <v>0</v>
      </c>
      <c r="K266" s="42">
        <f>1.7*C266/100</f>
        <v>0.34</v>
      </c>
      <c r="L266" s="48">
        <f>25.4*C266/100</f>
        <v>5.08</v>
      </c>
      <c r="M266" s="48">
        <f>105.53*C266/100</f>
        <v>21.105999999999998</v>
      </c>
      <c r="N266" s="48">
        <f>36.5*C266/100</f>
        <v>7.3</v>
      </c>
      <c r="O266" s="42">
        <f>2.45*C266/100</f>
        <v>0.49</v>
      </c>
      <c r="P266" s="56">
        <f>0.2*C266/100</f>
        <v>0.04</v>
      </c>
      <c r="Q266" s="56">
        <f>10*C266/100</f>
        <v>2</v>
      </c>
      <c r="R266" s="67">
        <v>200103</v>
      </c>
      <c r="S266" s="67"/>
    </row>
    <row r="267" spans="1:19" s="4" customFormat="1" ht="18.75" customHeight="1" thickBot="1" x14ac:dyDescent="0.3">
      <c r="A267" s="97"/>
      <c r="B267" s="100" t="s">
        <v>4</v>
      </c>
      <c r="C267" s="101"/>
      <c r="D267" s="102">
        <f t="shared" ref="D267:Q267" si="44">SUM(D259:D266)</f>
        <v>26.941000000000003</v>
      </c>
      <c r="E267" s="102">
        <f t="shared" si="44"/>
        <v>26.45</v>
      </c>
      <c r="F267" s="102">
        <f t="shared" si="44"/>
        <v>117.7</v>
      </c>
      <c r="G267" s="103">
        <f t="shared" si="44"/>
        <v>808.55199999999991</v>
      </c>
      <c r="H267" s="104">
        <f t="shared" si="44"/>
        <v>0.57100000000000006</v>
      </c>
      <c r="I267" s="102">
        <f t="shared" si="44"/>
        <v>21.241</v>
      </c>
      <c r="J267" s="102">
        <f t="shared" si="44"/>
        <v>0.19999999999999998</v>
      </c>
      <c r="K267" s="102">
        <f t="shared" si="44"/>
        <v>2.867</v>
      </c>
      <c r="L267" s="102">
        <f t="shared" si="44"/>
        <v>194.40000000000003</v>
      </c>
      <c r="M267" s="102">
        <f t="shared" si="44"/>
        <v>294.85699999999997</v>
      </c>
      <c r="N267" s="102">
        <f t="shared" si="44"/>
        <v>108.42800000000001</v>
      </c>
      <c r="O267" s="103">
        <f t="shared" si="44"/>
        <v>9.2500000000000018</v>
      </c>
      <c r="P267" s="110">
        <f t="shared" si="44"/>
        <v>1.8140000000000003</v>
      </c>
      <c r="Q267" s="110">
        <f t="shared" si="44"/>
        <v>13.95</v>
      </c>
      <c r="R267" s="115"/>
      <c r="S267" s="105"/>
    </row>
    <row r="268" spans="1:19" s="4" customFormat="1" ht="18.75" customHeight="1" x14ac:dyDescent="0.25">
      <c r="A268" s="117"/>
      <c r="B268" s="305" t="s">
        <v>35</v>
      </c>
      <c r="C268" s="305"/>
      <c r="D268" s="305"/>
      <c r="E268" s="305"/>
      <c r="F268" s="305"/>
      <c r="G268" s="305"/>
      <c r="H268" s="305"/>
      <c r="I268" s="305"/>
      <c r="J268" s="305"/>
      <c r="K268" s="305"/>
      <c r="L268" s="305"/>
      <c r="M268" s="305"/>
      <c r="N268" s="305"/>
      <c r="O268" s="305"/>
      <c r="P268" s="305"/>
      <c r="Q268" s="305"/>
      <c r="R268" s="305"/>
      <c r="S268" s="346"/>
    </row>
    <row r="269" spans="1:19" s="52" customFormat="1" x14ac:dyDescent="0.2">
      <c r="A269" s="49">
        <v>1</v>
      </c>
      <c r="B269" s="47" t="s">
        <v>283</v>
      </c>
      <c r="C269" s="41">
        <v>200</v>
      </c>
      <c r="D269" s="94">
        <f>2.9*C269/100</f>
        <v>5.8</v>
      </c>
      <c r="E269" s="94">
        <f>3.2*C269/100</f>
        <v>6.4</v>
      </c>
      <c r="F269" s="94">
        <v>7.6</v>
      </c>
      <c r="G269" s="94">
        <f>56*C269/100</f>
        <v>112</v>
      </c>
      <c r="H269" s="42">
        <v>0.08</v>
      </c>
      <c r="I269" s="42">
        <v>0.32</v>
      </c>
      <c r="J269" s="42">
        <v>0.04</v>
      </c>
      <c r="K269" s="42">
        <f>0*C269/100</f>
        <v>0</v>
      </c>
      <c r="L269" s="48">
        <v>240</v>
      </c>
      <c r="M269" s="48">
        <v>196</v>
      </c>
      <c r="N269" s="48">
        <f>15*C269/100</f>
        <v>30</v>
      </c>
      <c r="O269" s="42">
        <v>0.2</v>
      </c>
      <c r="P269" s="49">
        <v>0.32</v>
      </c>
      <c r="Q269" s="49">
        <v>18</v>
      </c>
      <c r="R269" s="67"/>
      <c r="S269" s="67"/>
    </row>
    <row r="270" spans="1:19" s="63" customFormat="1" x14ac:dyDescent="0.2">
      <c r="A270" s="49">
        <v>2</v>
      </c>
      <c r="B270" s="47" t="s">
        <v>186</v>
      </c>
      <c r="C270" s="41">
        <v>50</v>
      </c>
      <c r="D270" s="184">
        <f>5.7*C270/100</f>
        <v>2.85</v>
      </c>
      <c r="E270" s="184">
        <f>20.3*C270/100</f>
        <v>10.15</v>
      </c>
      <c r="F270" s="184">
        <f>57.3*C270/100</f>
        <v>28.65</v>
      </c>
      <c r="G270" s="184">
        <f>430.7*C270/100</f>
        <v>215.35</v>
      </c>
      <c r="H270" s="42">
        <f>0.12*C270/100</f>
        <v>0.06</v>
      </c>
      <c r="I270" s="42">
        <f>0*C270/100</f>
        <v>0</v>
      </c>
      <c r="J270" s="42">
        <f>0.13*C270/100</f>
        <v>6.5000000000000002E-2</v>
      </c>
      <c r="K270" s="42">
        <f>5.55*C270/100</f>
        <v>2.7749999999999999</v>
      </c>
      <c r="L270" s="48">
        <f>44.66*C270/100</f>
        <v>22.33</v>
      </c>
      <c r="M270" s="48">
        <f>148.03*C270/100</f>
        <v>74.015000000000001</v>
      </c>
      <c r="N270" s="48">
        <f>21.6*C270/100</f>
        <v>10.8</v>
      </c>
      <c r="O270" s="42">
        <v>0.7</v>
      </c>
      <c r="P270" s="49">
        <v>0.03</v>
      </c>
      <c r="Q270" s="49">
        <v>0.83</v>
      </c>
      <c r="R270" s="67"/>
      <c r="S270" s="67">
        <v>170603</v>
      </c>
    </row>
    <row r="271" spans="1:19" s="5" customFormat="1" ht="20.25" customHeight="1" x14ac:dyDescent="0.2">
      <c r="A271" s="49"/>
      <c r="B271" s="218" t="s">
        <v>4</v>
      </c>
      <c r="C271" s="120"/>
      <c r="D271" s="172">
        <f t="shared" ref="D271:Q271" si="45">SUM(D269:D270)</f>
        <v>8.65</v>
      </c>
      <c r="E271" s="172">
        <f t="shared" si="45"/>
        <v>16.55</v>
      </c>
      <c r="F271" s="172">
        <f t="shared" si="45"/>
        <v>36.25</v>
      </c>
      <c r="G271" s="172">
        <f t="shared" si="45"/>
        <v>327.35000000000002</v>
      </c>
      <c r="H271" s="172">
        <f t="shared" si="45"/>
        <v>0.14000000000000001</v>
      </c>
      <c r="I271" s="172">
        <f t="shared" si="45"/>
        <v>0.32</v>
      </c>
      <c r="J271" s="172">
        <f t="shared" si="45"/>
        <v>0.10500000000000001</v>
      </c>
      <c r="K271" s="172">
        <f t="shared" si="45"/>
        <v>2.7749999999999999</v>
      </c>
      <c r="L271" s="172">
        <f t="shared" si="45"/>
        <v>262.33</v>
      </c>
      <c r="M271" s="172">
        <f t="shared" si="45"/>
        <v>270.01499999999999</v>
      </c>
      <c r="N271" s="172">
        <f t="shared" si="45"/>
        <v>40.799999999999997</v>
      </c>
      <c r="O271" s="172">
        <f t="shared" si="45"/>
        <v>0.89999999999999991</v>
      </c>
      <c r="P271" s="170">
        <f t="shared" si="45"/>
        <v>0.35</v>
      </c>
      <c r="Q271" s="170">
        <f t="shared" si="45"/>
        <v>18.829999999999998</v>
      </c>
      <c r="R271" s="67"/>
      <c r="S271" s="67"/>
    </row>
    <row r="272" spans="1:19" s="4" customFormat="1" ht="18.75" customHeight="1" x14ac:dyDescent="0.25">
      <c r="A272" s="49"/>
      <c r="B272" s="218" t="s">
        <v>7</v>
      </c>
      <c r="C272" s="120"/>
      <c r="D272" s="170">
        <f t="shared" ref="D272:Q272" si="46">D257+D267+D271</f>
        <v>51.342999999999996</v>
      </c>
      <c r="E272" s="170">
        <f t="shared" si="46"/>
        <v>56.599999999999994</v>
      </c>
      <c r="F272" s="170">
        <f t="shared" si="46"/>
        <v>246.57999999999998</v>
      </c>
      <c r="G272" s="170">
        <f t="shared" si="46"/>
        <v>1697.002</v>
      </c>
      <c r="H272" s="170">
        <f t="shared" si="46"/>
        <v>1.1880000000000002</v>
      </c>
      <c r="I272" s="170">
        <f t="shared" si="46"/>
        <v>55.121000000000002</v>
      </c>
      <c r="J272" s="170">
        <f t="shared" si="46"/>
        <v>0.38100000000000001</v>
      </c>
      <c r="K272" s="170">
        <f t="shared" si="46"/>
        <v>7.0120000000000005</v>
      </c>
      <c r="L272" s="170">
        <f t="shared" si="46"/>
        <v>728.2</v>
      </c>
      <c r="M272" s="170">
        <f t="shared" si="46"/>
        <v>859.86199999999997</v>
      </c>
      <c r="N272" s="170">
        <f t="shared" si="46"/>
        <v>327.20300000000003</v>
      </c>
      <c r="O272" s="170">
        <f t="shared" si="46"/>
        <v>13.187200000000002</v>
      </c>
      <c r="P272" s="170">
        <f t="shared" si="46"/>
        <v>2.4690000000000003</v>
      </c>
      <c r="Q272" s="170">
        <f t="shared" si="46"/>
        <v>34.069999999999993</v>
      </c>
      <c r="R272" s="122"/>
      <c r="S272" s="122"/>
    </row>
    <row r="273" spans="1:19" s="4" customFormat="1" ht="18.75" customHeight="1" thickBot="1" x14ac:dyDescent="0.3">
      <c r="A273" s="344" t="s">
        <v>51</v>
      </c>
      <c r="B273" s="345"/>
      <c r="C273" s="345"/>
      <c r="D273" s="345"/>
      <c r="E273" s="345"/>
      <c r="F273" s="345"/>
      <c r="G273" s="345"/>
      <c r="H273" s="345"/>
      <c r="I273" s="345"/>
      <c r="J273" s="345"/>
      <c r="K273" s="345"/>
      <c r="L273" s="345"/>
      <c r="M273" s="345"/>
      <c r="N273" s="345"/>
      <c r="O273" s="345"/>
      <c r="P273" s="345"/>
      <c r="Q273" s="345"/>
      <c r="R273" s="345"/>
      <c r="S273" s="348"/>
    </row>
    <row r="274" spans="1:19" s="4" customFormat="1" x14ac:dyDescent="0.25">
      <c r="A274" s="304" t="s">
        <v>3</v>
      </c>
      <c r="B274" s="305"/>
      <c r="C274" s="305"/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305"/>
      <c r="P274" s="305"/>
      <c r="Q274" s="305"/>
      <c r="R274" s="305"/>
      <c r="S274" s="346"/>
    </row>
    <row r="275" spans="1:19" s="63" customFormat="1" ht="37.5" x14ac:dyDescent="0.2">
      <c r="A275" s="49">
        <v>1</v>
      </c>
      <c r="B275" s="47" t="s">
        <v>255</v>
      </c>
      <c r="C275" s="41">
        <v>200</v>
      </c>
      <c r="D275" s="42">
        <f>3.64*C275/100</f>
        <v>7.28</v>
      </c>
      <c r="E275" s="42">
        <f>3.38*C275/100</f>
        <v>6.76</v>
      </c>
      <c r="F275" s="42">
        <f>18.46*C275/100</f>
        <v>36.92</v>
      </c>
      <c r="G275" s="42">
        <f>112.8*C275/100</f>
        <v>225.6</v>
      </c>
      <c r="H275" s="42">
        <f>0.4*C275/100</f>
        <v>0.8</v>
      </c>
      <c r="I275" s="42">
        <f>8*C275/100</f>
        <v>16</v>
      </c>
      <c r="J275" s="42">
        <f>0*C275/100</f>
        <v>0</v>
      </c>
      <c r="K275" s="42">
        <f>2*C275/100</f>
        <v>4</v>
      </c>
      <c r="L275" s="48">
        <f>20*C275/100</f>
        <v>40</v>
      </c>
      <c r="M275" s="48">
        <f>32*C275/100</f>
        <v>64</v>
      </c>
      <c r="N275" s="48">
        <f>0*C275/100</f>
        <v>0</v>
      </c>
      <c r="O275" s="42">
        <f>2.24*C275/100</f>
        <v>4.4800000000000004</v>
      </c>
      <c r="P275" s="49">
        <f>0.3*C275/100</f>
        <v>0.6</v>
      </c>
      <c r="Q275" s="49">
        <f>4.5*C275/100</f>
        <v>9</v>
      </c>
      <c r="R275" s="67">
        <v>120215</v>
      </c>
      <c r="S275" s="67"/>
    </row>
    <row r="276" spans="1:19" s="63" customFormat="1" x14ac:dyDescent="0.2">
      <c r="A276" s="49">
        <v>2</v>
      </c>
      <c r="B276" s="47" t="s">
        <v>31</v>
      </c>
      <c r="C276" s="59">
        <v>200</v>
      </c>
      <c r="D276" s="60">
        <v>0</v>
      </c>
      <c r="E276" s="60">
        <v>0</v>
      </c>
      <c r="F276" s="60">
        <f>4.99*C276/100</f>
        <v>9.98</v>
      </c>
      <c r="G276" s="42">
        <f>19.95*C276/100</f>
        <v>39.9</v>
      </c>
      <c r="H276" s="42">
        <v>0</v>
      </c>
      <c r="I276" s="42">
        <v>0</v>
      </c>
      <c r="J276" s="42">
        <v>0</v>
      </c>
      <c r="K276" s="42">
        <v>0</v>
      </c>
      <c r="L276" s="48">
        <f>8.15*C276/100</f>
        <v>16.3</v>
      </c>
      <c r="M276" s="48">
        <f>0.02*C276/100</f>
        <v>0.04</v>
      </c>
      <c r="N276" s="48">
        <f>1.79*C276/100</f>
        <v>3.58</v>
      </c>
      <c r="O276" s="42">
        <f>0.02*C276/100</f>
        <v>0.04</v>
      </c>
      <c r="P276" s="49">
        <f>0.01*C276/100</f>
        <v>0.02</v>
      </c>
      <c r="Q276" s="49">
        <v>0.48</v>
      </c>
      <c r="R276" s="67">
        <v>160105</v>
      </c>
      <c r="S276" s="67"/>
    </row>
    <row r="277" spans="1:19" s="63" customFormat="1" x14ac:dyDescent="0.2">
      <c r="A277" s="49">
        <v>3</v>
      </c>
      <c r="B277" s="47" t="s">
        <v>259</v>
      </c>
      <c r="C277" s="41">
        <v>50</v>
      </c>
      <c r="D277" s="94">
        <f>11.4*C277/100</f>
        <v>5.7</v>
      </c>
      <c r="E277" s="94">
        <f>6.2*C277/100</f>
        <v>3.1</v>
      </c>
      <c r="F277" s="94">
        <f>54.8*C277/100</f>
        <v>27.4</v>
      </c>
      <c r="G277" s="94">
        <f>321*C277/100</f>
        <v>160.5</v>
      </c>
      <c r="H277" s="42">
        <f>0.17*C277/100</f>
        <v>8.5000000000000006E-2</v>
      </c>
      <c r="I277" s="42">
        <f>3.2*C277/100</f>
        <v>1.6</v>
      </c>
      <c r="J277" s="42">
        <f>0.02*C277/100</f>
        <v>0.01</v>
      </c>
      <c r="K277" s="42">
        <f>1*C277/100</f>
        <v>0.5</v>
      </c>
      <c r="L277" s="48">
        <f>12.46*C277/100</f>
        <v>6.23</v>
      </c>
      <c r="M277" s="48">
        <f>55.81*C277/100</f>
        <v>27.905000000000001</v>
      </c>
      <c r="N277" s="48">
        <f>10.75*C277/100</f>
        <v>5.375</v>
      </c>
      <c r="O277" s="42">
        <f>0.82*C277/100</f>
        <v>0.41</v>
      </c>
      <c r="P277" s="49">
        <f>0.04*C277/100</f>
        <v>0.02</v>
      </c>
      <c r="Q277" s="49">
        <v>0.87</v>
      </c>
      <c r="R277" s="67">
        <v>190102</v>
      </c>
      <c r="S277" s="67">
        <v>190103</v>
      </c>
    </row>
    <row r="278" spans="1:19" s="63" customFormat="1" x14ac:dyDescent="0.2">
      <c r="A278" s="49">
        <v>4</v>
      </c>
      <c r="B278" s="47" t="s">
        <v>268</v>
      </c>
      <c r="C278" s="41">
        <v>150</v>
      </c>
      <c r="D278" s="42">
        <f>5.5*C278/100</f>
        <v>8.25</v>
      </c>
      <c r="E278" s="42">
        <v>0</v>
      </c>
      <c r="F278" s="42">
        <f>20.56*C278/100</f>
        <v>30.84</v>
      </c>
      <c r="G278" s="42">
        <f>104*C278/100</f>
        <v>156</v>
      </c>
      <c r="H278" s="42">
        <v>0.03</v>
      </c>
      <c r="I278" s="42">
        <v>7.5</v>
      </c>
      <c r="J278" s="42">
        <v>0</v>
      </c>
      <c r="K278" s="42">
        <v>0.6</v>
      </c>
      <c r="L278" s="48">
        <v>28.5</v>
      </c>
      <c r="M278" s="48">
        <v>24</v>
      </c>
      <c r="N278" s="48">
        <v>18</v>
      </c>
      <c r="O278" s="42">
        <v>3.0000000000000001E-3</v>
      </c>
      <c r="P278" s="56">
        <v>0</v>
      </c>
      <c r="Q278" s="56">
        <v>0</v>
      </c>
      <c r="R278" s="233">
        <v>220101</v>
      </c>
      <c r="S278" s="233">
        <v>220102</v>
      </c>
    </row>
    <row r="279" spans="1:19" s="4" customFormat="1" ht="18.75" customHeight="1" x14ac:dyDescent="0.25">
      <c r="A279" s="49"/>
      <c r="B279" s="218" t="s">
        <v>4</v>
      </c>
      <c r="C279" s="120"/>
      <c r="D279" s="172">
        <f t="shared" ref="D279:Q279" si="47">SUM(D275:D278)</f>
        <v>21.23</v>
      </c>
      <c r="E279" s="172">
        <f t="shared" si="47"/>
        <v>9.86</v>
      </c>
      <c r="F279" s="172">
        <f t="shared" si="47"/>
        <v>105.14000000000001</v>
      </c>
      <c r="G279" s="172">
        <f t="shared" si="47"/>
        <v>582</v>
      </c>
      <c r="H279" s="172">
        <f t="shared" si="47"/>
        <v>0.91500000000000004</v>
      </c>
      <c r="I279" s="172">
        <f t="shared" si="47"/>
        <v>25.1</v>
      </c>
      <c r="J279" s="172">
        <f t="shared" si="47"/>
        <v>0.01</v>
      </c>
      <c r="K279" s="172">
        <f t="shared" si="47"/>
        <v>5.0999999999999996</v>
      </c>
      <c r="L279" s="172">
        <f t="shared" si="47"/>
        <v>91.03</v>
      </c>
      <c r="M279" s="172">
        <f t="shared" si="47"/>
        <v>115.94500000000001</v>
      </c>
      <c r="N279" s="172">
        <f t="shared" si="47"/>
        <v>26.954999999999998</v>
      </c>
      <c r="O279" s="172">
        <f t="shared" si="47"/>
        <v>4.9330000000000007</v>
      </c>
      <c r="P279" s="170">
        <f t="shared" si="47"/>
        <v>0.64</v>
      </c>
      <c r="Q279" s="170">
        <f t="shared" si="47"/>
        <v>10.35</v>
      </c>
      <c r="R279" s="122"/>
      <c r="S279" s="122"/>
    </row>
    <row r="280" spans="1:19" s="4" customFormat="1" x14ac:dyDescent="0.25">
      <c r="A280" s="300" t="s">
        <v>5</v>
      </c>
      <c r="B280" s="301"/>
      <c r="C280" s="301"/>
      <c r="D280" s="301"/>
      <c r="E280" s="301"/>
      <c r="F280" s="301"/>
      <c r="G280" s="301"/>
      <c r="H280" s="301"/>
      <c r="I280" s="301"/>
      <c r="J280" s="301"/>
      <c r="K280" s="301"/>
      <c r="L280" s="301"/>
      <c r="M280" s="301"/>
      <c r="N280" s="301"/>
      <c r="O280" s="301"/>
      <c r="P280" s="301"/>
      <c r="Q280" s="301"/>
      <c r="R280" s="301"/>
      <c r="S280" s="347"/>
    </row>
    <row r="281" spans="1:19" s="63" customFormat="1" ht="37.5" x14ac:dyDescent="0.2">
      <c r="A281" s="49">
        <v>1</v>
      </c>
      <c r="B281" s="47" t="s">
        <v>149</v>
      </c>
      <c r="C281" s="41">
        <v>60</v>
      </c>
      <c r="D281" s="42">
        <f>1.43*C281/100</f>
        <v>0.85799999999999998</v>
      </c>
      <c r="E281" s="42">
        <f>8.09*C281/100</f>
        <v>4.8540000000000001</v>
      </c>
      <c r="F281" s="42">
        <f>6.34*C281/100</f>
        <v>3.8039999999999998</v>
      </c>
      <c r="G281" s="42">
        <f>104.62*C281/100</f>
        <v>62.772000000000006</v>
      </c>
      <c r="H281" s="42">
        <f>C281*0.03/100</f>
        <v>1.7999999999999999E-2</v>
      </c>
      <c r="I281" s="42">
        <f>C281*7.34/100</f>
        <v>4.4039999999999999</v>
      </c>
      <c r="J281" s="42">
        <f>C281*7.86/100000</f>
        <v>4.7160000000000006E-3</v>
      </c>
      <c r="K281" s="42">
        <f>C281*1.46/100</f>
        <v>0.87599999999999989</v>
      </c>
      <c r="L281" s="48">
        <f>C281*29.67/100</f>
        <v>17.802</v>
      </c>
      <c r="M281" s="48">
        <f>C281*38.09/100</f>
        <v>22.853999999999999</v>
      </c>
      <c r="N281" s="48">
        <f>C281*18.21/100</f>
        <v>10.926000000000002</v>
      </c>
      <c r="O281" s="42">
        <f>C281*1.06/100</f>
        <v>0.63600000000000001</v>
      </c>
      <c r="P281" s="49">
        <f>0.03*C281/100</f>
        <v>1.7999999999999999E-2</v>
      </c>
      <c r="Q281" s="49">
        <v>2.62</v>
      </c>
      <c r="R281" s="67">
        <v>100403</v>
      </c>
      <c r="S281" s="67"/>
    </row>
    <row r="282" spans="1:19" s="63" customFormat="1" x14ac:dyDescent="0.2">
      <c r="A282" s="49">
        <v>2</v>
      </c>
      <c r="B282" s="47" t="s">
        <v>68</v>
      </c>
      <c r="C282" s="41">
        <v>250</v>
      </c>
      <c r="D282" s="42">
        <f>0.4*C282/100</f>
        <v>1</v>
      </c>
      <c r="E282" s="42">
        <f>0.63*C282/100</f>
        <v>1.575</v>
      </c>
      <c r="F282" s="42">
        <f>3.3*C282/100</f>
        <v>8.25</v>
      </c>
      <c r="G282" s="42">
        <f>20.2*C282/100</f>
        <v>50.5</v>
      </c>
      <c r="H282" s="42">
        <f>0.05*C282/100</f>
        <v>0.125</v>
      </c>
      <c r="I282" s="42">
        <f>6.22*C282/100</f>
        <v>15.55</v>
      </c>
      <c r="J282" s="42">
        <f>0.01*C282/100</f>
        <v>2.5000000000000001E-2</v>
      </c>
      <c r="K282" s="42">
        <f>0.09*C282/100</f>
        <v>0.22500000000000001</v>
      </c>
      <c r="L282" s="48">
        <f>17.65*C282/100</f>
        <v>44.125</v>
      </c>
      <c r="M282" s="48">
        <f>57.77*C282/100</f>
        <v>144.42500000000001</v>
      </c>
      <c r="N282" s="48">
        <f>13.17*C282/100</f>
        <v>32.924999999999997</v>
      </c>
      <c r="O282" s="42">
        <f>2.1*C282/100</f>
        <v>5.25</v>
      </c>
      <c r="P282" s="49">
        <f>0.07*C282/100</f>
        <v>0.17499999999999999</v>
      </c>
      <c r="Q282" s="49">
        <v>2.9</v>
      </c>
      <c r="R282" s="67">
        <v>110105</v>
      </c>
      <c r="S282" s="67">
        <v>110106</v>
      </c>
    </row>
    <row r="283" spans="1:19" s="63" customFormat="1" x14ac:dyDescent="0.2">
      <c r="A283" s="49">
        <v>3</v>
      </c>
      <c r="B283" s="47" t="s">
        <v>202</v>
      </c>
      <c r="C283" s="41">
        <v>100</v>
      </c>
      <c r="D283" s="42">
        <f>18.4*C283/100</f>
        <v>18.399999999999999</v>
      </c>
      <c r="E283" s="42">
        <f>10.4*C283/100</f>
        <v>10.4</v>
      </c>
      <c r="F283" s="42">
        <f>12.1*C283/100</f>
        <v>12.1</v>
      </c>
      <c r="G283" s="42">
        <f>215.6*C283/100</f>
        <v>215.6</v>
      </c>
      <c r="H283" s="42">
        <f>0.23*C283/100</f>
        <v>0.23</v>
      </c>
      <c r="I283" s="42">
        <v>0</v>
      </c>
      <c r="J283" s="42">
        <f>0.01*C283/100</f>
        <v>0.01</v>
      </c>
      <c r="K283" s="42">
        <f>0.03*C283/100</f>
        <v>0.03</v>
      </c>
      <c r="L283" s="48">
        <f>12.4*C283/100</f>
        <v>12.4</v>
      </c>
      <c r="M283" s="48">
        <f>140.65*C283/100</f>
        <v>140.65</v>
      </c>
      <c r="N283" s="48">
        <f>26.47*C283/100</f>
        <v>26.47</v>
      </c>
      <c r="O283" s="42">
        <f>1.64*C283/100</f>
        <v>1.64</v>
      </c>
      <c r="P283" s="49">
        <f>0.14*C283/100</f>
        <v>0.14000000000000001</v>
      </c>
      <c r="Q283" s="49">
        <f>1.2*C283/100</f>
        <v>1.2</v>
      </c>
      <c r="R283" s="67">
        <v>120525</v>
      </c>
      <c r="S283" s="67">
        <v>120526</v>
      </c>
    </row>
    <row r="284" spans="1:19" s="63" customFormat="1" x14ac:dyDescent="0.2">
      <c r="A284" s="49">
        <v>4</v>
      </c>
      <c r="B284" s="47" t="s">
        <v>13</v>
      </c>
      <c r="C284" s="41">
        <v>30</v>
      </c>
      <c r="D284" s="60">
        <f>0.9*C284/100</f>
        <v>0.27</v>
      </c>
      <c r="E284" s="60">
        <f>4.5*C284/100</f>
        <v>1.35</v>
      </c>
      <c r="F284" s="60">
        <f>7.4*C284/100</f>
        <v>2.2200000000000002</v>
      </c>
      <c r="G284" s="60">
        <f>73.7*C284/100</f>
        <v>22.11</v>
      </c>
      <c r="H284" s="42">
        <v>8.9999999999999993E-3</v>
      </c>
      <c r="I284" s="42">
        <v>0.15</v>
      </c>
      <c r="J284" s="42">
        <v>6.0000000000000001E-3</v>
      </c>
      <c r="K284" s="42">
        <v>0.03</v>
      </c>
      <c r="L284" s="48">
        <v>46.05</v>
      </c>
      <c r="M284" s="48">
        <v>32.85</v>
      </c>
      <c r="N284" s="48">
        <v>5.0999999999999996</v>
      </c>
      <c r="O284" s="42">
        <v>0.03</v>
      </c>
      <c r="P284" s="49">
        <v>0.03</v>
      </c>
      <c r="Q284" s="49">
        <v>1.35</v>
      </c>
      <c r="R284" s="67">
        <v>140104</v>
      </c>
      <c r="S284" s="67">
        <v>140105</v>
      </c>
    </row>
    <row r="285" spans="1:19" s="63" customFormat="1" x14ac:dyDescent="0.2">
      <c r="A285" s="49">
        <v>5</v>
      </c>
      <c r="B285" s="47" t="s">
        <v>183</v>
      </c>
      <c r="C285" s="41">
        <v>150</v>
      </c>
      <c r="D285" s="42">
        <f>2.095*C285/100</f>
        <v>3.1425000000000005</v>
      </c>
      <c r="E285" s="42">
        <f>5.135*C285/100</f>
        <v>7.7024999999999997</v>
      </c>
      <c r="F285" s="42">
        <f>12.04*C285/100</f>
        <v>18.059999999999999</v>
      </c>
      <c r="G285" s="42">
        <f>93.4*C285/100</f>
        <v>140.1</v>
      </c>
      <c r="H285" s="94">
        <f>0.1*C285/100</f>
        <v>0.15</v>
      </c>
      <c r="I285" s="94">
        <f>13.71*C285/100</f>
        <v>20.565000000000001</v>
      </c>
      <c r="J285" s="94">
        <f>0.02*C285/100</f>
        <v>0.03</v>
      </c>
      <c r="K285" s="94">
        <f>0.15*C285/100</f>
        <v>0.22500000000000001</v>
      </c>
      <c r="L285" s="124">
        <f>9.35*C285/100</f>
        <v>14.025</v>
      </c>
      <c r="M285" s="124">
        <f>51.96*C285/100</f>
        <v>77.94</v>
      </c>
      <c r="N285" s="124">
        <f>19.14*C285/100</f>
        <v>28.71</v>
      </c>
      <c r="O285" s="94">
        <f>0.77*C285/100</f>
        <v>1.155</v>
      </c>
      <c r="P285" s="49">
        <f>0.06*C285/100</f>
        <v>0.09</v>
      </c>
      <c r="Q285" s="49">
        <v>4.8899999999999997</v>
      </c>
      <c r="R285" s="67">
        <v>130103</v>
      </c>
      <c r="S285" s="67">
        <v>130104</v>
      </c>
    </row>
    <row r="286" spans="1:19" s="37" customFormat="1" x14ac:dyDescent="0.2">
      <c r="A286" s="49">
        <v>6</v>
      </c>
      <c r="B286" s="47" t="s">
        <v>131</v>
      </c>
      <c r="C286" s="41">
        <v>200</v>
      </c>
      <c r="D286" s="42">
        <f>0.62*C286/100</f>
        <v>1.24</v>
      </c>
      <c r="E286" s="42">
        <f>0.04*C286/100</f>
        <v>0.08</v>
      </c>
      <c r="F286" s="42">
        <f>12.06*C286/100</f>
        <v>24.12</v>
      </c>
      <c r="G286" s="42">
        <f>41.81*C286/100</f>
        <v>83.62</v>
      </c>
      <c r="H286" s="42">
        <f>0.01*C286/100</f>
        <v>0.02</v>
      </c>
      <c r="I286" s="42">
        <f>0.48*C286/100</f>
        <v>0.96</v>
      </c>
      <c r="J286" s="42">
        <f>0*C286/100</f>
        <v>0</v>
      </c>
      <c r="K286" s="42">
        <v>0</v>
      </c>
      <c r="L286" s="48">
        <f>23.8*C286/100</f>
        <v>47.6</v>
      </c>
      <c r="M286" s="48">
        <f>17.52*C286/100</f>
        <v>35.04</v>
      </c>
      <c r="N286" s="48">
        <f>13.6*C286/100</f>
        <v>27.2</v>
      </c>
      <c r="O286" s="42">
        <f>0.39*C286/100</f>
        <v>0.78</v>
      </c>
      <c r="P286" s="62">
        <f>0.02*C286/100</f>
        <v>0.04</v>
      </c>
      <c r="Q286" s="62">
        <v>2.3199999999999998</v>
      </c>
      <c r="R286" s="67">
        <v>160210</v>
      </c>
      <c r="S286" s="67"/>
    </row>
    <row r="287" spans="1:19" s="63" customFormat="1" x14ac:dyDescent="0.2">
      <c r="A287" s="49">
        <v>7</v>
      </c>
      <c r="B287" s="47" t="s">
        <v>160</v>
      </c>
      <c r="C287" s="41">
        <v>40</v>
      </c>
      <c r="D287" s="42">
        <f>7.76*C287/100</f>
        <v>3.1039999999999996</v>
      </c>
      <c r="E287" s="42">
        <f>2.65*C287/100</f>
        <v>1.06</v>
      </c>
      <c r="F287" s="42">
        <f>53.25*C287/100</f>
        <v>21.3</v>
      </c>
      <c r="G287" s="42">
        <f>273*C287/100</f>
        <v>109.2</v>
      </c>
      <c r="H287" s="42">
        <f>0.34*C287/100</f>
        <v>0.13600000000000001</v>
      </c>
      <c r="I287" s="42">
        <f>0*C287/100</f>
        <v>0</v>
      </c>
      <c r="J287" s="42">
        <v>0</v>
      </c>
      <c r="K287" s="42">
        <f>1.5*C287/100</f>
        <v>0.6</v>
      </c>
      <c r="L287" s="48">
        <f>148.1*C287/100</f>
        <v>59.24</v>
      </c>
      <c r="M287" s="48">
        <f>0*C287/100</f>
        <v>0</v>
      </c>
      <c r="N287" s="48">
        <f>16*C287/100</f>
        <v>6.4</v>
      </c>
      <c r="O287" s="42">
        <f>2.4*C287/100</f>
        <v>0.96</v>
      </c>
      <c r="P287" s="56">
        <f>0.2*C287/100</f>
        <v>0.08</v>
      </c>
      <c r="Q287" s="56">
        <f>1.5*C287/100</f>
        <v>0.6</v>
      </c>
      <c r="R287" s="67">
        <v>200102</v>
      </c>
      <c r="S287" s="67"/>
    </row>
    <row r="288" spans="1:19" s="63" customFormat="1" x14ac:dyDescent="0.2">
      <c r="A288" s="49">
        <v>8</v>
      </c>
      <c r="B288" s="47" t="s">
        <v>159</v>
      </c>
      <c r="C288" s="41">
        <v>20</v>
      </c>
      <c r="D288" s="42">
        <f>5.86*C288/100</f>
        <v>1.1719999999999999</v>
      </c>
      <c r="E288" s="42">
        <f>0.94*C288/100</f>
        <v>0.18799999999999997</v>
      </c>
      <c r="F288" s="42">
        <f>44.4*C288/100</f>
        <v>8.8800000000000008</v>
      </c>
      <c r="G288" s="42">
        <f>189*C288/100</f>
        <v>37.799999999999997</v>
      </c>
      <c r="H288" s="42">
        <f>0.4*C288/100</f>
        <v>0.08</v>
      </c>
      <c r="I288" s="42">
        <f>0.03*C288/100</f>
        <v>6.0000000000000001E-3</v>
      </c>
      <c r="J288" s="42">
        <v>0</v>
      </c>
      <c r="K288" s="42">
        <f>1.7*C288/100</f>
        <v>0.34</v>
      </c>
      <c r="L288" s="48">
        <f>25.4*C288/100</f>
        <v>5.08</v>
      </c>
      <c r="M288" s="48">
        <f>105.53*C288/100</f>
        <v>21.105999999999998</v>
      </c>
      <c r="N288" s="48">
        <f>36.5*C288/100</f>
        <v>7.3</v>
      </c>
      <c r="O288" s="42">
        <f>2.45*C288/100</f>
        <v>0.49</v>
      </c>
      <c r="P288" s="56">
        <f>0.2*C288/100</f>
        <v>0.04</v>
      </c>
      <c r="Q288" s="56">
        <f>10*C288/100</f>
        <v>2</v>
      </c>
      <c r="R288" s="67">
        <v>200103</v>
      </c>
      <c r="S288" s="67"/>
    </row>
    <row r="289" spans="1:19" s="4" customFormat="1" ht="36" customHeight="1" x14ac:dyDescent="0.3">
      <c r="A289" s="49"/>
      <c r="B289" s="218" t="s">
        <v>4</v>
      </c>
      <c r="C289" s="120"/>
      <c r="D289" s="170">
        <f t="shared" ref="D289:Q289" si="48">SUM(D281:D288)</f>
        <v>29.186499999999999</v>
      </c>
      <c r="E289" s="170">
        <f t="shared" si="48"/>
        <v>27.209499999999998</v>
      </c>
      <c r="F289" s="170">
        <f t="shared" si="48"/>
        <v>98.733999999999995</v>
      </c>
      <c r="G289" s="170">
        <f t="shared" si="48"/>
        <v>721.702</v>
      </c>
      <c r="H289" s="170">
        <f t="shared" si="48"/>
        <v>0.76800000000000002</v>
      </c>
      <c r="I289" s="170">
        <f t="shared" si="48"/>
        <v>41.634999999999998</v>
      </c>
      <c r="J289" s="170">
        <f t="shared" si="48"/>
        <v>7.5716000000000006E-2</v>
      </c>
      <c r="K289" s="170">
        <f t="shared" si="48"/>
        <v>2.3260000000000001</v>
      </c>
      <c r="L289" s="170">
        <f t="shared" si="48"/>
        <v>246.322</v>
      </c>
      <c r="M289" s="170">
        <f t="shared" si="48"/>
        <v>474.86500000000001</v>
      </c>
      <c r="N289" s="170">
        <f t="shared" si="48"/>
        <v>145.03100000000001</v>
      </c>
      <c r="O289" s="170">
        <f t="shared" si="48"/>
        <v>10.941000000000001</v>
      </c>
      <c r="P289" s="55">
        <f t="shared" si="48"/>
        <v>0.61299999999999999</v>
      </c>
      <c r="Q289" s="55">
        <f t="shared" si="48"/>
        <v>17.880000000000003</v>
      </c>
      <c r="R289" s="122"/>
      <c r="S289" s="122"/>
    </row>
    <row r="290" spans="1:19" s="4" customFormat="1" ht="18.75" customHeight="1" x14ac:dyDescent="0.25">
      <c r="A290" s="300" t="s">
        <v>35</v>
      </c>
      <c r="B290" s="301"/>
      <c r="C290" s="301"/>
      <c r="D290" s="301"/>
      <c r="E290" s="301"/>
      <c r="F290" s="301"/>
      <c r="G290" s="301"/>
      <c r="H290" s="301"/>
      <c r="I290" s="301"/>
      <c r="J290" s="301"/>
      <c r="K290" s="301"/>
      <c r="L290" s="301"/>
      <c r="M290" s="301"/>
      <c r="N290" s="301"/>
      <c r="O290" s="301"/>
      <c r="P290" s="301"/>
      <c r="Q290" s="301"/>
      <c r="R290" s="301"/>
      <c r="S290" s="347"/>
    </row>
    <row r="291" spans="1:19" s="63" customFormat="1" ht="31.5" x14ac:dyDescent="0.2">
      <c r="A291" s="49">
        <v>1</v>
      </c>
      <c r="B291" s="47" t="s">
        <v>143</v>
      </c>
      <c r="C291" s="41">
        <v>50</v>
      </c>
      <c r="D291" s="60">
        <f>8*C291/100</f>
        <v>4</v>
      </c>
      <c r="E291" s="60">
        <f>5.5*C291/100</f>
        <v>2.75</v>
      </c>
      <c r="F291" s="60">
        <f>54.6*C291/100</f>
        <v>27.3</v>
      </c>
      <c r="G291" s="60">
        <f>299.9*C291/100</f>
        <v>149.94999999999999</v>
      </c>
      <c r="H291" s="42">
        <f>0.09*C291/100</f>
        <v>4.4999999999999998E-2</v>
      </c>
      <c r="I291" s="42">
        <f>0.62*C291/100</f>
        <v>0.31</v>
      </c>
      <c r="J291" s="42">
        <f>0.01*C291/100</f>
        <v>5.0000000000000001E-3</v>
      </c>
      <c r="K291" s="42">
        <f>2.49*C291/100</f>
        <v>1.2450000000000001</v>
      </c>
      <c r="L291" s="48">
        <f>11.38*C291/100</f>
        <v>5.69</v>
      </c>
      <c r="M291" s="48">
        <f>37.2*C291/100</f>
        <v>18.600000000000001</v>
      </c>
      <c r="N291" s="48">
        <f>9.87*C291/100</f>
        <v>4.9349999999999996</v>
      </c>
      <c r="O291" s="42">
        <f>0.62*C291/100</f>
        <v>0.31</v>
      </c>
      <c r="P291" s="49">
        <f>0.03*C291/100</f>
        <v>1.4999999999999999E-2</v>
      </c>
      <c r="Q291" s="49">
        <f>6.56*C291/100</f>
        <v>3.28</v>
      </c>
      <c r="R291" s="183" t="s">
        <v>253</v>
      </c>
      <c r="S291" s="67">
        <v>190303</v>
      </c>
    </row>
    <row r="292" spans="1:19" s="63" customFormat="1" x14ac:dyDescent="0.2">
      <c r="A292" s="49">
        <v>2</v>
      </c>
      <c r="B292" s="47" t="s">
        <v>163</v>
      </c>
      <c r="C292" s="41">
        <v>200</v>
      </c>
      <c r="D292" s="60">
        <f>3.05*C292/100</f>
        <v>6.1</v>
      </c>
      <c r="E292" s="60">
        <f>3.11*C292/100</f>
        <v>6.22</v>
      </c>
      <c r="F292" s="60">
        <f>9.83*C292/100</f>
        <v>19.66</v>
      </c>
      <c r="G292" s="60">
        <f>79.2*C292/100</f>
        <v>158.4</v>
      </c>
      <c r="H292" s="42">
        <f>0.26*C292/100</f>
        <v>0.52</v>
      </c>
      <c r="I292" s="42">
        <f>14.61*C292/100</f>
        <v>29.22</v>
      </c>
      <c r="J292" s="42">
        <f>0.4*C292/100</f>
        <v>0.8</v>
      </c>
      <c r="K292" s="42">
        <v>0</v>
      </c>
      <c r="L292" s="48">
        <f>24.96*C292/100</f>
        <v>49.92</v>
      </c>
      <c r="M292" s="48">
        <v>0</v>
      </c>
      <c r="N292" s="48">
        <f>0.1*C292/100</f>
        <v>0.2</v>
      </c>
      <c r="O292" s="42">
        <v>0</v>
      </c>
      <c r="P292" s="49">
        <v>0.14000000000000001</v>
      </c>
      <c r="Q292" s="49">
        <v>7.68</v>
      </c>
      <c r="R292" s="181">
        <v>160101</v>
      </c>
      <c r="S292" s="67">
        <v>160102</v>
      </c>
    </row>
    <row r="293" spans="1:19" s="4" customFormat="1" x14ac:dyDescent="0.3">
      <c r="A293" s="49"/>
      <c r="B293" s="218" t="s">
        <v>4</v>
      </c>
      <c r="C293" s="120"/>
      <c r="D293" s="172">
        <f t="shared" ref="D293:Q293" si="49">SUM(D291:D292)</f>
        <v>10.1</v>
      </c>
      <c r="E293" s="172">
        <f t="shared" si="49"/>
        <v>8.9699999999999989</v>
      </c>
      <c r="F293" s="172">
        <f t="shared" si="49"/>
        <v>46.96</v>
      </c>
      <c r="G293" s="172">
        <f t="shared" si="49"/>
        <v>308.35000000000002</v>
      </c>
      <c r="H293" s="172">
        <f t="shared" si="49"/>
        <v>0.56500000000000006</v>
      </c>
      <c r="I293" s="172">
        <f t="shared" si="49"/>
        <v>29.529999999999998</v>
      </c>
      <c r="J293" s="172">
        <f t="shared" si="49"/>
        <v>0.80500000000000005</v>
      </c>
      <c r="K293" s="172">
        <f t="shared" si="49"/>
        <v>1.2450000000000001</v>
      </c>
      <c r="L293" s="172">
        <f t="shared" si="49"/>
        <v>55.61</v>
      </c>
      <c r="M293" s="172">
        <f t="shared" si="49"/>
        <v>18.600000000000001</v>
      </c>
      <c r="N293" s="172">
        <f t="shared" si="49"/>
        <v>5.1349999999999998</v>
      </c>
      <c r="O293" s="172">
        <f t="shared" si="49"/>
        <v>0.31</v>
      </c>
      <c r="P293" s="192">
        <f t="shared" si="49"/>
        <v>0.15500000000000003</v>
      </c>
      <c r="Q293" s="192">
        <f t="shared" si="49"/>
        <v>10.959999999999999</v>
      </c>
      <c r="R293" s="122"/>
      <c r="S293" s="122"/>
    </row>
    <row r="294" spans="1:19" s="4" customFormat="1" x14ac:dyDescent="0.25">
      <c r="A294" s="49"/>
      <c r="B294" s="218" t="s">
        <v>7</v>
      </c>
      <c r="C294" s="120"/>
      <c r="D294" s="170">
        <f t="shared" ref="D294:Q294" si="50">D279+D289+D293</f>
        <v>60.516500000000001</v>
      </c>
      <c r="E294" s="170">
        <f t="shared" si="50"/>
        <v>46.039499999999997</v>
      </c>
      <c r="F294" s="170">
        <f t="shared" si="50"/>
        <v>250.83400000000003</v>
      </c>
      <c r="G294" s="170">
        <f t="shared" si="50"/>
        <v>1612.0520000000001</v>
      </c>
      <c r="H294" s="170">
        <f t="shared" si="50"/>
        <v>2.2480000000000002</v>
      </c>
      <c r="I294" s="170">
        <f t="shared" si="50"/>
        <v>96.265000000000001</v>
      </c>
      <c r="J294" s="170">
        <f t="shared" si="50"/>
        <v>0.89071600000000006</v>
      </c>
      <c r="K294" s="170">
        <f t="shared" si="50"/>
        <v>8.6709999999999994</v>
      </c>
      <c r="L294" s="170">
        <f t="shared" si="50"/>
        <v>392.96199999999999</v>
      </c>
      <c r="M294" s="170">
        <f t="shared" si="50"/>
        <v>609.41000000000008</v>
      </c>
      <c r="N294" s="170">
        <f t="shared" si="50"/>
        <v>177.12099999999998</v>
      </c>
      <c r="O294" s="170">
        <f t="shared" si="50"/>
        <v>16.184000000000001</v>
      </c>
      <c r="P294" s="170">
        <f t="shared" si="50"/>
        <v>1.4080000000000001</v>
      </c>
      <c r="Q294" s="170">
        <f t="shared" si="50"/>
        <v>39.190000000000005</v>
      </c>
      <c r="R294" s="122"/>
      <c r="S294" s="122"/>
    </row>
    <row r="295" spans="1:19" s="46" customFormat="1" x14ac:dyDescent="0.25">
      <c r="A295" s="49"/>
      <c r="B295" s="218" t="s">
        <v>153</v>
      </c>
      <c r="C295" s="120"/>
      <c r="D295" s="170">
        <f t="shared" ref="D295:Q295" si="51">(D178+D224+D202+D249+D272+D294)/6</f>
        <v>56.057083333333338</v>
      </c>
      <c r="E295" s="170">
        <f t="shared" si="51"/>
        <v>56.425249999999984</v>
      </c>
      <c r="F295" s="170">
        <f t="shared" si="51"/>
        <v>226.65049999999999</v>
      </c>
      <c r="G295" s="170">
        <f t="shared" si="51"/>
        <v>1632.1345000000001</v>
      </c>
      <c r="H295" s="170">
        <f t="shared" si="51"/>
        <v>1.3671666666666666</v>
      </c>
      <c r="I295" s="170">
        <f t="shared" si="51"/>
        <v>83.67349999999999</v>
      </c>
      <c r="J295" s="170">
        <f t="shared" si="51"/>
        <v>0.66923866666666676</v>
      </c>
      <c r="K295" s="170">
        <f t="shared" si="51"/>
        <v>7.011166666666667</v>
      </c>
      <c r="L295" s="170">
        <f t="shared" si="51"/>
        <v>509.75133333333338</v>
      </c>
      <c r="M295" s="170">
        <f t="shared" si="51"/>
        <v>672.99783333333335</v>
      </c>
      <c r="N295" s="170">
        <f t="shared" si="51"/>
        <v>194.94233333333332</v>
      </c>
      <c r="O295" s="170">
        <f t="shared" si="51"/>
        <v>11.016733333333335</v>
      </c>
      <c r="P295" s="170">
        <f t="shared" si="51"/>
        <v>1.2109166666666666</v>
      </c>
      <c r="Q295" s="170">
        <f t="shared" si="51"/>
        <v>32.990583333333326</v>
      </c>
      <c r="R295" s="122"/>
      <c r="S295" s="122"/>
    </row>
    <row r="296" spans="1:19" s="4" customFormat="1" ht="19.5" customHeight="1" thickBot="1" x14ac:dyDescent="0.3">
      <c r="A296" s="352" t="s">
        <v>52</v>
      </c>
      <c r="B296" s="353"/>
      <c r="C296" s="353"/>
      <c r="D296" s="353"/>
      <c r="E296" s="353"/>
      <c r="F296" s="353"/>
      <c r="G296" s="353"/>
      <c r="H296" s="353"/>
      <c r="I296" s="353"/>
      <c r="J296" s="353"/>
      <c r="K296" s="353"/>
      <c r="L296" s="353"/>
      <c r="M296" s="353"/>
      <c r="N296" s="353"/>
      <c r="O296" s="353"/>
      <c r="P296" s="353"/>
      <c r="Q296" s="353"/>
      <c r="R296" s="353"/>
      <c r="S296" s="354"/>
    </row>
    <row r="297" spans="1:19" s="4" customFormat="1" ht="19.5" customHeight="1" x14ac:dyDescent="0.25">
      <c r="A297" s="349" t="s">
        <v>3</v>
      </c>
      <c r="B297" s="350"/>
      <c r="C297" s="350"/>
      <c r="D297" s="350"/>
      <c r="E297" s="350"/>
      <c r="F297" s="350"/>
      <c r="G297" s="350"/>
      <c r="H297" s="350"/>
      <c r="I297" s="350"/>
      <c r="J297" s="350"/>
      <c r="K297" s="350"/>
      <c r="L297" s="350"/>
      <c r="M297" s="350"/>
      <c r="N297" s="350"/>
      <c r="O297" s="350"/>
      <c r="P297" s="350"/>
      <c r="Q297" s="350"/>
      <c r="R297" s="350"/>
      <c r="S297" s="351"/>
    </row>
    <row r="298" spans="1:19" s="63" customFormat="1" x14ac:dyDescent="0.2">
      <c r="A298" s="49">
        <v>1</v>
      </c>
      <c r="B298" s="47" t="s">
        <v>263</v>
      </c>
      <c r="C298" s="41">
        <v>150</v>
      </c>
      <c r="D298" s="42">
        <f>3.8*C298/100</f>
        <v>5.7</v>
      </c>
      <c r="E298" s="42">
        <f>4.8*C298/100</f>
        <v>7.2</v>
      </c>
      <c r="F298" s="42">
        <f>15.6*C298/100</f>
        <v>23.4</v>
      </c>
      <c r="G298" s="42">
        <f>120.8*C298/100</f>
        <v>181.2</v>
      </c>
      <c r="H298" s="42">
        <f>0.16*C298/100</f>
        <v>0.24</v>
      </c>
      <c r="I298" s="42">
        <f>8.8*C298/100</f>
        <v>13.2</v>
      </c>
      <c r="J298" s="42">
        <f>0.04*C298/100</f>
        <v>0.06</v>
      </c>
      <c r="K298" s="42">
        <f>0.03*C298/100</f>
        <v>4.4999999999999998E-2</v>
      </c>
      <c r="L298" s="48">
        <f>106.2*C298/100</f>
        <v>159.30000000000001</v>
      </c>
      <c r="M298" s="48">
        <f>90.66*C298/100</f>
        <v>135.99</v>
      </c>
      <c r="N298" s="48">
        <f>14.94*C298/100</f>
        <v>22.41</v>
      </c>
      <c r="O298" s="42">
        <f>0.25*C298/100</f>
        <v>0.375</v>
      </c>
      <c r="P298" s="49">
        <f>0.13*C298/100</f>
        <v>0.19500000000000001</v>
      </c>
      <c r="Q298" s="49">
        <v>3.5</v>
      </c>
      <c r="R298" s="233">
        <v>120216</v>
      </c>
      <c r="S298" s="233">
        <v>120217</v>
      </c>
    </row>
    <row r="299" spans="1:19" s="63" customFormat="1" x14ac:dyDescent="0.2">
      <c r="A299" s="49">
        <v>2</v>
      </c>
      <c r="B299" s="47" t="s">
        <v>122</v>
      </c>
      <c r="C299" s="41">
        <v>200</v>
      </c>
      <c r="D299" s="94">
        <f>2.25*C299/100</f>
        <v>4.5</v>
      </c>
      <c r="E299" s="94">
        <f>2.24*C299/100</f>
        <v>4.4800000000000004</v>
      </c>
      <c r="F299" s="94">
        <f>10.25*C299/100</f>
        <v>20.5</v>
      </c>
      <c r="G299" s="94">
        <f>70.23*C299/100</f>
        <v>140.46</v>
      </c>
      <c r="H299" s="42">
        <f>0.13*C299/100</f>
        <v>0.26</v>
      </c>
      <c r="I299" s="42">
        <f>7*C299/100</f>
        <v>14</v>
      </c>
      <c r="J299" s="42">
        <f>0*C299/100</f>
        <v>0</v>
      </c>
      <c r="K299" s="42">
        <v>0</v>
      </c>
      <c r="L299" s="48">
        <f>1.55*C299/100</f>
        <v>3.1</v>
      </c>
      <c r="M299" s="48">
        <v>0</v>
      </c>
      <c r="N299" s="48">
        <f>0.3*C299/100</f>
        <v>0.6</v>
      </c>
      <c r="O299" s="42">
        <f>0.02*C299/100</f>
        <v>0.04</v>
      </c>
      <c r="P299" s="49">
        <v>0</v>
      </c>
      <c r="Q299" s="49">
        <v>3.58</v>
      </c>
      <c r="R299" s="67">
        <v>160104</v>
      </c>
      <c r="S299" s="67"/>
    </row>
    <row r="300" spans="1:19" s="63" customFormat="1" x14ac:dyDescent="0.2">
      <c r="A300" s="49">
        <v>3</v>
      </c>
      <c r="B300" s="47" t="s">
        <v>170</v>
      </c>
      <c r="C300" s="41">
        <v>40</v>
      </c>
      <c r="D300" s="42">
        <f>12.7*C300/100</f>
        <v>5.08</v>
      </c>
      <c r="E300" s="42">
        <f>11.5*C300/100</f>
        <v>4.5999999999999996</v>
      </c>
      <c r="F300" s="42">
        <f>0.7*C300/100</f>
        <v>0.28000000000000003</v>
      </c>
      <c r="G300" s="42">
        <f>157*C300/100</f>
        <v>62.8</v>
      </c>
      <c r="H300" s="42">
        <f>0.07*C300/100</f>
        <v>2.8000000000000004E-2</v>
      </c>
      <c r="I300" s="42">
        <f>0*C300/100</f>
        <v>0</v>
      </c>
      <c r="J300" s="42">
        <f>0.25*C300/100</f>
        <v>0.1</v>
      </c>
      <c r="K300" s="42">
        <f>0*C300/100</f>
        <v>0</v>
      </c>
      <c r="L300" s="48">
        <f>55*C300/100</f>
        <v>22</v>
      </c>
      <c r="M300" s="48">
        <f>0.2*C300/100</f>
        <v>0.08</v>
      </c>
      <c r="N300" s="48">
        <f>12.06*C300/100</f>
        <v>4.8240000000000007</v>
      </c>
      <c r="O300" s="42">
        <f>2.5*C300/100</f>
        <v>1</v>
      </c>
      <c r="P300" s="49">
        <f>0.44*C300/100</f>
        <v>0.17600000000000002</v>
      </c>
      <c r="Q300" s="49">
        <f>20*C300/100</f>
        <v>8</v>
      </c>
      <c r="R300" s="67">
        <v>120304</v>
      </c>
      <c r="S300" s="67"/>
    </row>
    <row r="301" spans="1:19" s="63" customFormat="1" x14ac:dyDescent="0.2">
      <c r="A301" s="49">
        <v>4</v>
      </c>
      <c r="B301" s="96" t="s">
        <v>142</v>
      </c>
      <c r="C301" s="41">
        <v>30</v>
      </c>
      <c r="D301" s="42">
        <f>8.8*C301/100</f>
        <v>2.64</v>
      </c>
      <c r="E301" s="42">
        <f>1.7*C301/100</f>
        <v>0.51</v>
      </c>
      <c r="F301" s="42">
        <f>29.4*C301/100</f>
        <v>8.82</v>
      </c>
      <c r="G301" s="42">
        <f>168*C301/100</f>
        <v>50.4</v>
      </c>
      <c r="H301" s="42">
        <f>0.34*C301/100</f>
        <v>0.10200000000000001</v>
      </c>
      <c r="I301" s="42">
        <f>0*C301/100</f>
        <v>0</v>
      </c>
      <c r="J301" s="42">
        <v>0</v>
      </c>
      <c r="K301" s="42">
        <f>1.5*C301/100</f>
        <v>0.45</v>
      </c>
      <c r="L301" s="48">
        <f>148.1*C301/100</f>
        <v>44.43</v>
      </c>
      <c r="M301" s="48">
        <f>0*C301/100</f>
        <v>0</v>
      </c>
      <c r="N301" s="48">
        <f>16*C301/100</f>
        <v>4.8</v>
      </c>
      <c r="O301" s="42">
        <f>2.4*C301/100</f>
        <v>0.72</v>
      </c>
      <c r="P301" s="56">
        <f>0.2*C301/100</f>
        <v>0.06</v>
      </c>
      <c r="Q301" s="56">
        <v>10</v>
      </c>
      <c r="R301" s="67">
        <v>200101</v>
      </c>
      <c r="S301" s="67"/>
    </row>
    <row r="302" spans="1:19" s="53" customFormat="1" x14ac:dyDescent="0.25">
      <c r="A302" s="49">
        <v>5</v>
      </c>
      <c r="B302" s="96" t="s">
        <v>278</v>
      </c>
      <c r="C302" s="270" t="s">
        <v>274</v>
      </c>
      <c r="D302" s="41">
        <v>0.3</v>
      </c>
      <c r="E302" s="42">
        <v>0</v>
      </c>
      <c r="F302" s="42">
        <v>27.9</v>
      </c>
      <c r="G302" s="42">
        <v>112.8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8">
        <v>0</v>
      </c>
      <c r="N302" s="48">
        <v>0</v>
      </c>
      <c r="O302" s="48">
        <v>0</v>
      </c>
      <c r="P302" s="42">
        <v>0</v>
      </c>
      <c r="Q302" s="56">
        <v>0</v>
      </c>
      <c r="R302" s="56"/>
      <c r="S302" s="122"/>
    </row>
    <row r="303" spans="1:19" s="4" customFormat="1" ht="18.75" customHeight="1" x14ac:dyDescent="0.25">
      <c r="A303" s="49"/>
      <c r="B303" s="218" t="s">
        <v>4</v>
      </c>
      <c r="C303" s="41"/>
      <c r="D303" s="172">
        <f t="shared" ref="D303:Q303" si="52">SUM(D298:D302)</f>
        <v>18.22</v>
      </c>
      <c r="E303" s="172">
        <f t="shared" si="52"/>
        <v>16.790000000000003</v>
      </c>
      <c r="F303" s="172">
        <f t="shared" si="52"/>
        <v>80.900000000000006</v>
      </c>
      <c r="G303" s="172">
        <f t="shared" si="52"/>
        <v>547.66</v>
      </c>
      <c r="H303" s="172">
        <f t="shared" si="52"/>
        <v>0.63</v>
      </c>
      <c r="I303" s="172">
        <f t="shared" si="52"/>
        <v>27.2</v>
      </c>
      <c r="J303" s="172">
        <f t="shared" si="52"/>
        <v>0.16</v>
      </c>
      <c r="K303" s="172">
        <f t="shared" si="52"/>
        <v>0.495</v>
      </c>
      <c r="L303" s="172">
        <f t="shared" si="52"/>
        <v>228.83</v>
      </c>
      <c r="M303" s="172">
        <f t="shared" si="52"/>
        <v>136.07000000000002</v>
      </c>
      <c r="N303" s="172">
        <f t="shared" si="52"/>
        <v>32.634</v>
      </c>
      <c r="O303" s="172">
        <f t="shared" si="52"/>
        <v>2.1349999999999998</v>
      </c>
      <c r="P303" s="170">
        <f t="shared" si="52"/>
        <v>0.43099999999999999</v>
      </c>
      <c r="Q303" s="170">
        <f t="shared" si="52"/>
        <v>25.08</v>
      </c>
      <c r="R303" s="122"/>
      <c r="S303" s="122"/>
    </row>
    <row r="304" spans="1:19" s="4" customFormat="1" ht="19.5" customHeight="1" x14ac:dyDescent="0.25">
      <c r="A304" s="314" t="s">
        <v>5</v>
      </c>
      <c r="B304" s="315"/>
      <c r="C304" s="315"/>
      <c r="D304" s="315"/>
      <c r="E304" s="315"/>
      <c r="F304" s="315"/>
      <c r="G304" s="315"/>
      <c r="H304" s="315"/>
      <c r="I304" s="315"/>
      <c r="J304" s="315"/>
      <c r="K304" s="315"/>
      <c r="L304" s="315"/>
      <c r="M304" s="315"/>
      <c r="N304" s="315"/>
      <c r="O304" s="315"/>
      <c r="P304" s="315"/>
      <c r="Q304" s="315"/>
      <c r="R304" s="315"/>
      <c r="S304" s="343"/>
    </row>
    <row r="305" spans="1:24" s="63" customFormat="1" x14ac:dyDescent="0.2">
      <c r="A305" s="49">
        <v>1</v>
      </c>
      <c r="B305" s="47" t="s">
        <v>65</v>
      </c>
      <c r="C305" s="41">
        <v>60</v>
      </c>
      <c r="D305" s="42">
        <f>0.95*C305/100</f>
        <v>0.56999999999999995</v>
      </c>
      <c r="E305" s="42">
        <f>15.15*C305/100</f>
        <v>9.09</v>
      </c>
      <c r="F305" s="42">
        <f>3.19*C305/100</f>
        <v>1.9140000000000001</v>
      </c>
      <c r="G305" s="42">
        <f>155.01*C305/100</f>
        <v>93.005999999999986</v>
      </c>
      <c r="H305" s="42">
        <f>0.05*$C305/100</f>
        <v>0.03</v>
      </c>
      <c r="I305" s="42">
        <f>19.58*$C305/100</f>
        <v>11.747999999999999</v>
      </c>
      <c r="J305" s="42">
        <f>0*$C305/100</f>
        <v>0</v>
      </c>
      <c r="K305" s="42">
        <f>3.18*$C305/100</f>
        <v>1.9080000000000001</v>
      </c>
      <c r="L305" s="48">
        <f>17.06*$C305/100</f>
        <v>10.235999999999999</v>
      </c>
      <c r="M305" s="48">
        <f>22.4*$C305/100</f>
        <v>13.44</v>
      </c>
      <c r="N305" s="48">
        <f>16.88*$C305/100</f>
        <v>10.128</v>
      </c>
      <c r="O305" s="42">
        <f>0.77*$C305/100</f>
        <v>0.46200000000000002</v>
      </c>
      <c r="P305" s="49">
        <f>0.04*C305/100</f>
        <v>2.4E-2</v>
      </c>
      <c r="Q305" s="49">
        <v>3.32</v>
      </c>
      <c r="R305" s="67">
        <v>100506</v>
      </c>
      <c r="S305" s="67"/>
    </row>
    <row r="306" spans="1:24" s="63" customFormat="1" x14ac:dyDescent="0.2">
      <c r="A306" s="49">
        <v>2</v>
      </c>
      <c r="B306" s="47" t="s">
        <v>12</v>
      </c>
      <c r="C306" s="41">
        <v>250</v>
      </c>
      <c r="D306" s="42">
        <f>0.7*C306/100</f>
        <v>1.75</v>
      </c>
      <c r="E306" s="42">
        <f>1.7*C306/100</f>
        <v>4.25</v>
      </c>
      <c r="F306" s="42">
        <f>3.8*C306/100</f>
        <v>9.5</v>
      </c>
      <c r="G306" s="42">
        <f>33.3*C306/100</f>
        <v>83.25</v>
      </c>
      <c r="H306" s="42">
        <f>C306*0.03/100</f>
        <v>7.4999999999999997E-2</v>
      </c>
      <c r="I306" s="42">
        <f>2.86*C306/100</f>
        <v>7.15</v>
      </c>
      <c r="J306" s="42">
        <f>0.01*C306/100</f>
        <v>2.5000000000000001E-2</v>
      </c>
      <c r="K306" s="42">
        <f>0.12*C306/100</f>
        <v>0.3</v>
      </c>
      <c r="L306" s="48">
        <f>C306*14.36/100</f>
        <v>35.9</v>
      </c>
      <c r="M306" s="48">
        <f>C306*29.47/100</f>
        <v>73.674999999999997</v>
      </c>
      <c r="N306" s="48">
        <f>C306*11.09/100</f>
        <v>27.725000000000001</v>
      </c>
      <c r="O306" s="42">
        <f>C306*0.37/100</f>
        <v>0.92500000000000004</v>
      </c>
      <c r="P306" s="49">
        <f>0.02*C306/100</f>
        <v>0.05</v>
      </c>
      <c r="Q306" s="49">
        <v>4</v>
      </c>
      <c r="R306" s="67">
        <v>110201</v>
      </c>
      <c r="S306" s="67">
        <v>110202</v>
      </c>
    </row>
    <row r="307" spans="1:24" s="63" customFormat="1" x14ac:dyDescent="0.2">
      <c r="A307" s="49">
        <v>3</v>
      </c>
      <c r="B307" s="47" t="s">
        <v>234</v>
      </c>
      <c r="C307" s="41">
        <v>80</v>
      </c>
      <c r="D307" s="42">
        <f>15.3*C307/100</f>
        <v>12.24</v>
      </c>
      <c r="E307" s="42">
        <f>4.2*C307/100</f>
        <v>3.36</v>
      </c>
      <c r="F307" s="42">
        <f>9*C307/100</f>
        <v>7.2</v>
      </c>
      <c r="G307" s="42">
        <f>135*C307/100</f>
        <v>108</v>
      </c>
      <c r="H307" s="42">
        <f>0.05*C307/100</f>
        <v>0.04</v>
      </c>
      <c r="I307" s="42">
        <f>1.59*C307/100</f>
        <v>1.272</v>
      </c>
      <c r="J307" s="42">
        <f>0.04*C307/100</f>
        <v>3.2000000000000001E-2</v>
      </c>
      <c r="K307" s="42">
        <f>1.32*C307/100</f>
        <v>1.056</v>
      </c>
      <c r="L307" s="48">
        <f>20.07*C307/100</f>
        <v>16.055999999999997</v>
      </c>
      <c r="M307" s="48">
        <f>137.52*C307/100</f>
        <v>110.01600000000001</v>
      </c>
      <c r="N307" s="48">
        <f>16.08*C307/100</f>
        <v>12.863999999999999</v>
      </c>
      <c r="O307" s="42">
        <f>1.77*C307/100</f>
        <v>1.4159999999999999</v>
      </c>
      <c r="P307" s="49">
        <v>0.09</v>
      </c>
      <c r="Q307" s="49">
        <v>3.68</v>
      </c>
      <c r="R307" s="67">
        <v>120527</v>
      </c>
      <c r="S307" s="67">
        <v>120528</v>
      </c>
    </row>
    <row r="308" spans="1:24" s="63" customFormat="1" x14ac:dyDescent="0.2">
      <c r="A308" s="49">
        <v>4</v>
      </c>
      <c r="B308" s="47" t="s">
        <v>69</v>
      </c>
      <c r="C308" s="41">
        <v>150</v>
      </c>
      <c r="D308" s="42">
        <f>2.2*C308/100</f>
        <v>3.3</v>
      </c>
      <c r="E308" s="42">
        <f>3.8*C308/100</f>
        <v>5.7</v>
      </c>
      <c r="F308" s="42">
        <f>14.8*C308/100</f>
        <v>22.2</v>
      </c>
      <c r="G308" s="42">
        <f>102*C308/100</f>
        <v>153</v>
      </c>
      <c r="H308" s="42">
        <f>0.03*C308/100</f>
        <v>4.4999999999999998E-2</v>
      </c>
      <c r="I308" s="42">
        <f>8.15*C308/100</f>
        <v>12.225</v>
      </c>
      <c r="J308" s="42">
        <f>0.02*C308/100</f>
        <v>0.03</v>
      </c>
      <c r="K308" s="42">
        <f>0.27*C308/100</f>
        <v>0.40500000000000003</v>
      </c>
      <c r="L308" s="48">
        <f>41.03*C308/100</f>
        <v>61.545000000000002</v>
      </c>
      <c r="M308" s="48">
        <f>34.83*C308/100</f>
        <v>52.244999999999997</v>
      </c>
      <c r="N308" s="48">
        <f>17.6*C308/100</f>
        <v>26.4</v>
      </c>
      <c r="O308" s="42">
        <f>0.73*C308/100</f>
        <v>1.095</v>
      </c>
      <c r="P308" s="49">
        <f>0.03*C308/100</f>
        <v>4.4999999999999998E-2</v>
      </c>
      <c r="Q308" s="49">
        <v>6.27</v>
      </c>
      <c r="R308" s="67">
        <v>130201</v>
      </c>
      <c r="S308" s="67">
        <v>130202</v>
      </c>
    </row>
    <row r="309" spans="1:24" s="66" customFormat="1" x14ac:dyDescent="0.2">
      <c r="A309" s="49">
        <v>5</v>
      </c>
      <c r="B309" s="47" t="s">
        <v>231</v>
      </c>
      <c r="C309" s="41">
        <v>200</v>
      </c>
      <c r="D309" s="60">
        <f>0.7*C309/100</f>
        <v>1.4</v>
      </c>
      <c r="E309" s="60">
        <v>0</v>
      </c>
      <c r="F309" s="60">
        <f>12*C309/100</f>
        <v>24</v>
      </c>
      <c r="G309" s="60">
        <f>48*C309/100</f>
        <v>96</v>
      </c>
      <c r="H309" s="42">
        <f>0.105*C309/100</f>
        <v>0.21</v>
      </c>
      <c r="I309" s="42">
        <f>2*C309/100</f>
        <v>4</v>
      </c>
      <c r="J309" s="42">
        <f>0.03*C309/100</f>
        <v>0.06</v>
      </c>
      <c r="K309" s="42">
        <f>0.35*C309/100</f>
        <v>0.7</v>
      </c>
      <c r="L309" s="48">
        <f>10.5*C309/100</f>
        <v>21</v>
      </c>
      <c r="M309" s="48">
        <f>8*C309/100</f>
        <v>16</v>
      </c>
      <c r="N309" s="48">
        <f>11.5*C309/100</f>
        <v>23</v>
      </c>
      <c r="O309" s="49">
        <f>0.35*C309/100</f>
        <v>0.7</v>
      </c>
      <c r="P309" s="49">
        <v>0</v>
      </c>
      <c r="Q309" s="49">
        <v>0.4</v>
      </c>
      <c r="R309" s="67"/>
      <c r="S309" s="67"/>
    </row>
    <row r="310" spans="1:24" s="63" customFormat="1" x14ac:dyDescent="0.2">
      <c r="A310" s="49">
        <v>6</v>
      </c>
      <c r="B310" s="47" t="s">
        <v>160</v>
      </c>
      <c r="C310" s="41">
        <v>40</v>
      </c>
      <c r="D310" s="42">
        <f>7.76*C310/100</f>
        <v>3.1039999999999996</v>
      </c>
      <c r="E310" s="42">
        <f>2.65*C310/100</f>
        <v>1.06</v>
      </c>
      <c r="F310" s="42">
        <f>53.25*C310/100</f>
        <v>21.3</v>
      </c>
      <c r="G310" s="42">
        <f>273*C310/100</f>
        <v>109.2</v>
      </c>
      <c r="H310" s="42">
        <f>0.34*C310/100</f>
        <v>0.13600000000000001</v>
      </c>
      <c r="I310" s="42">
        <f>0*C310/100</f>
        <v>0</v>
      </c>
      <c r="J310" s="42">
        <v>0</v>
      </c>
      <c r="K310" s="42">
        <f>1.5*C310/100</f>
        <v>0.6</v>
      </c>
      <c r="L310" s="48">
        <f>148.1*C310/100</f>
        <v>59.24</v>
      </c>
      <c r="M310" s="48">
        <f>0*C310/100</f>
        <v>0</v>
      </c>
      <c r="N310" s="48">
        <f>16*C310/100</f>
        <v>6.4</v>
      </c>
      <c r="O310" s="42">
        <f>2.4*C310/100</f>
        <v>0.96</v>
      </c>
      <c r="P310" s="56">
        <f>0.2*C310/100</f>
        <v>0.08</v>
      </c>
      <c r="Q310" s="56">
        <f>1.5*C310/100</f>
        <v>0.6</v>
      </c>
      <c r="R310" s="67">
        <v>200102</v>
      </c>
      <c r="S310" s="67"/>
    </row>
    <row r="311" spans="1:24" s="63" customFormat="1" x14ac:dyDescent="0.2">
      <c r="A311" s="49">
        <v>7</v>
      </c>
      <c r="B311" s="47" t="s">
        <v>159</v>
      </c>
      <c r="C311" s="41">
        <v>20</v>
      </c>
      <c r="D311" s="42">
        <f>5.86*C311/100</f>
        <v>1.1719999999999999</v>
      </c>
      <c r="E311" s="42">
        <f>0.94*C311/100</f>
        <v>0.18799999999999997</v>
      </c>
      <c r="F311" s="42">
        <f>44.4*C311/100</f>
        <v>8.8800000000000008</v>
      </c>
      <c r="G311" s="42">
        <f>189*C311/100</f>
        <v>37.799999999999997</v>
      </c>
      <c r="H311" s="42">
        <f>0.4*C311/100</f>
        <v>0.08</v>
      </c>
      <c r="I311" s="42">
        <f>0.03*C311/100</f>
        <v>6.0000000000000001E-3</v>
      </c>
      <c r="J311" s="42">
        <v>0</v>
      </c>
      <c r="K311" s="42">
        <f>1.7*C311/100</f>
        <v>0.34</v>
      </c>
      <c r="L311" s="48">
        <f>25.4*C311/100</f>
        <v>5.08</v>
      </c>
      <c r="M311" s="48">
        <f>105.53*C311/100</f>
        <v>21.105999999999998</v>
      </c>
      <c r="N311" s="48">
        <f>36.5*C311/100</f>
        <v>7.3</v>
      </c>
      <c r="O311" s="42">
        <f>2.45*C311/100</f>
        <v>0.49</v>
      </c>
      <c r="P311" s="56">
        <f>0.2*C311/100</f>
        <v>0.04</v>
      </c>
      <c r="Q311" s="56">
        <f>10*C311/100</f>
        <v>2</v>
      </c>
      <c r="R311" s="67">
        <v>200103</v>
      </c>
      <c r="S311" s="67"/>
    </row>
    <row r="312" spans="1:24" s="4" customFormat="1" ht="18.75" customHeight="1" x14ac:dyDescent="0.25">
      <c r="A312" s="49"/>
      <c r="B312" s="218" t="s">
        <v>4</v>
      </c>
      <c r="C312" s="120"/>
      <c r="D312" s="170">
        <f t="shared" ref="D312:Q312" si="53">SUM(D305:D311)</f>
        <v>23.535999999999998</v>
      </c>
      <c r="E312" s="170">
        <f t="shared" si="53"/>
        <v>23.647999999999996</v>
      </c>
      <c r="F312" s="170">
        <f t="shared" si="53"/>
        <v>94.993999999999986</v>
      </c>
      <c r="G312" s="170">
        <f t="shared" si="53"/>
        <v>680.25599999999997</v>
      </c>
      <c r="H312" s="170">
        <f t="shared" si="53"/>
        <v>0.61599999999999999</v>
      </c>
      <c r="I312" s="170">
        <f t="shared" si="53"/>
        <v>36.400999999999996</v>
      </c>
      <c r="J312" s="170">
        <f t="shared" si="53"/>
        <v>0.14699999999999999</v>
      </c>
      <c r="K312" s="170">
        <f t="shared" si="53"/>
        <v>5.3090000000000002</v>
      </c>
      <c r="L312" s="170">
        <f t="shared" si="53"/>
        <v>209.05700000000002</v>
      </c>
      <c r="M312" s="170">
        <f t="shared" si="53"/>
        <v>286.48199999999997</v>
      </c>
      <c r="N312" s="170">
        <f t="shared" si="53"/>
        <v>113.81699999999999</v>
      </c>
      <c r="O312" s="170">
        <f t="shared" si="53"/>
        <v>6.048</v>
      </c>
      <c r="P312" s="170">
        <f t="shared" si="53"/>
        <v>0.32900000000000001</v>
      </c>
      <c r="Q312" s="170">
        <f t="shared" si="53"/>
        <v>20.27</v>
      </c>
      <c r="R312" s="122"/>
      <c r="S312" s="122"/>
    </row>
    <row r="313" spans="1:24" s="4" customFormat="1" ht="18.75" customHeight="1" x14ac:dyDescent="0.25">
      <c r="A313" s="314" t="s">
        <v>35</v>
      </c>
      <c r="B313" s="315"/>
      <c r="C313" s="315"/>
      <c r="D313" s="315"/>
      <c r="E313" s="315"/>
      <c r="F313" s="315"/>
      <c r="G313" s="315"/>
      <c r="H313" s="315"/>
      <c r="I313" s="315"/>
      <c r="J313" s="315"/>
      <c r="K313" s="315"/>
      <c r="L313" s="315"/>
      <c r="M313" s="315"/>
      <c r="N313" s="315"/>
      <c r="O313" s="315"/>
      <c r="P313" s="315"/>
      <c r="Q313" s="315"/>
      <c r="R313" s="315"/>
      <c r="S313" s="343"/>
    </row>
    <row r="314" spans="1:24" s="63" customFormat="1" ht="31.5" x14ac:dyDescent="0.2">
      <c r="A314" s="49">
        <v>1</v>
      </c>
      <c r="B314" s="47" t="s">
        <v>217</v>
      </c>
      <c r="C314" s="41">
        <v>50</v>
      </c>
      <c r="D314" s="42">
        <f>8.2*C314/100</f>
        <v>4.0999999999999996</v>
      </c>
      <c r="E314" s="42">
        <f>7.8*C314/100</f>
        <v>3.9</v>
      </c>
      <c r="F314" s="42">
        <f>48.2*C314/100</f>
        <v>24.1</v>
      </c>
      <c r="G314" s="42">
        <f>295.8*C314/100</f>
        <v>147.9</v>
      </c>
      <c r="H314" s="42">
        <f>0.34*C314/100</f>
        <v>0.17</v>
      </c>
      <c r="I314" s="42">
        <f>0*C314/100</f>
        <v>0</v>
      </c>
      <c r="J314" s="42">
        <v>0</v>
      </c>
      <c r="K314" s="42">
        <f>1.5*C314/100</f>
        <v>0.75</v>
      </c>
      <c r="L314" s="48">
        <f>148.1*C314/100</f>
        <v>74.05</v>
      </c>
      <c r="M314" s="48">
        <f>0*C314/100</f>
        <v>0</v>
      </c>
      <c r="N314" s="48">
        <f>16*C314/100</f>
        <v>8</v>
      </c>
      <c r="O314" s="42">
        <f>2.4*C314/100</f>
        <v>1.2</v>
      </c>
      <c r="P314" s="56">
        <f>0.2*C314/100</f>
        <v>0.1</v>
      </c>
      <c r="Q314" s="62">
        <v>0</v>
      </c>
      <c r="R314" s="183" t="s">
        <v>249</v>
      </c>
      <c r="S314" s="67">
        <v>190209</v>
      </c>
    </row>
    <row r="315" spans="1:24" s="64" customFormat="1" ht="42" customHeight="1" x14ac:dyDescent="0.3">
      <c r="A315" s="49">
        <v>2</v>
      </c>
      <c r="B315" s="47" t="s">
        <v>169</v>
      </c>
      <c r="C315" s="41">
        <v>200</v>
      </c>
      <c r="D315" s="42">
        <f>0.07*C315/100</f>
        <v>0.14000000000000001</v>
      </c>
      <c r="E315" s="42">
        <v>0</v>
      </c>
      <c r="F315" s="42">
        <f>9.24*C315/100</f>
        <v>18.48</v>
      </c>
      <c r="G315" s="42">
        <f>28.66*C315/100</f>
        <v>57.32</v>
      </c>
      <c r="H315" s="42">
        <v>0</v>
      </c>
      <c r="I315" s="42">
        <f>1.5*C315/100</f>
        <v>3</v>
      </c>
      <c r="J315" s="42">
        <v>0</v>
      </c>
      <c r="K315" s="42">
        <v>0</v>
      </c>
      <c r="L315" s="42">
        <f>8.65*C315/100</f>
        <v>17.3</v>
      </c>
      <c r="M315" s="42">
        <f>5.07*C315/100</f>
        <v>10.14</v>
      </c>
      <c r="N315" s="42">
        <f>1.65*C315/100</f>
        <v>3.3</v>
      </c>
      <c r="O315" s="42">
        <f>0.01*C315/100</f>
        <v>0.02</v>
      </c>
      <c r="P315" s="55">
        <v>0</v>
      </c>
      <c r="Q315" s="186">
        <v>0</v>
      </c>
      <c r="R315" s="122">
        <v>160201</v>
      </c>
      <c r="S315" s="122"/>
      <c r="T315" s="71"/>
      <c r="U315" s="71"/>
      <c r="V315" s="71"/>
      <c r="W315" s="71"/>
      <c r="X315" s="71"/>
    </row>
    <row r="316" spans="1:24" s="64" customFormat="1" x14ac:dyDescent="0.3">
      <c r="A316" s="49">
        <v>3</v>
      </c>
      <c r="B316" s="47" t="s">
        <v>267</v>
      </c>
      <c r="C316" s="41">
        <v>100</v>
      </c>
      <c r="D316" s="42">
        <f>4.5*C316/100</f>
        <v>4.5</v>
      </c>
      <c r="E316" s="246">
        <f>8.5*C316/100</f>
        <v>8.5</v>
      </c>
      <c r="F316" s="42">
        <f>3.5*C316/100</f>
        <v>3.5</v>
      </c>
      <c r="G316" s="246">
        <f>88.5*C316/100</f>
        <v>88.5</v>
      </c>
      <c r="H316" s="42">
        <f>0.04*C316/100</f>
        <v>0.04</v>
      </c>
      <c r="I316" s="246">
        <f>0.6*C316/100</f>
        <v>0.6</v>
      </c>
      <c r="J316" s="42">
        <f>0.03*C316/100</f>
        <v>0.03</v>
      </c>
      <c r="K316" s="246">
        <v>0</v>
      </c>
      <c r="L316" s="42">
        <f>122*C316/100</f>
        <v>122</v>
      </c>
      <c r="M316" s="42">
        <f>96*C316/100</f>
        <v>96</v>
      </c>
      <c r="N316" s="42">
        <f>15*C316/100</f>
        <v>15</v>
      </c>
      <c r="O316" s="42">
        <f>0.1*C316/100</f>
        <v>0.1</v>
      </c>
      <c r="P316" s="42">
        <f>0.2*C316/100</f>
        <v>0.2</v>
      </c>
      <c r="Q316" s="42">
        <v>0</v>
      </c>
      <c r="R316" s="238"/>
      <c r="S316" s="238"/>
      <c r="T316" s="69"/>
      <c r="U316" s="69"/>
      <c r="V316" s="70"/>
      <c r="W316" s="70"/>
      <c r="X316" s="71"/>
    </row>
    <row r="317" spans="1:24" s="4" customFormat="1" ht="19.5" customHeight="1" x14ac:dyDescent="0.25">
      <c r="A317" s="49"/>
      <c r="B317" s="218" t="s">
        <v>4</v>
      </c>
      <c r="C317" s="41"/>
      <c r="D317" s="172">
        <f t="shared" ref="D317:Q317" si="54">SUM(D314:D316)</f>
        <v>8.7399999999999984</v>
      </c>
      <c r="E317" s="172">
        <f t="shared" si="54"/>
        <v>12.4</v>
      </c>
      <c r="F317" s="172">
        <f t="shared" si="54"/>
        <v>46.08</v>
      </c>
      <c r="G317" s="172">
        <f t="shared" si="54"/>
        <v>293.72000000000003</v>
      </c>
      <c r="H317" s="172">
        <f t="shared" si="54"/>
        <v>0.21000000000000002</v>
      </c>
      <c r="I317" s="172">
        <f t="shared" si="54"/>
        <v>3.6</v>
      </c>
      <c r="J317" s="172">
        <f t="shared" si="54"/>
        <v>0.03</v>
      </c>
      <c r="K317" s="172">
        <f t="shared" si="54"/>
        <v>0.75</v>
      </c>
      <c r="L317" s="172">
        <f t="shared" si="54"/>
        <v>213.35</v>
      </c>
      <c r="M317" s="172">
        <f t="shared" si="54"/>
        <v>106.14</v>
      </c>
      <c r="N317" s="172">
        <f t="shared" si="54"/>
        <v>26.3</v>
      </c>
      <c r="O317" s="172">
        <f t="shared" si="54"/>
        <v>1.32</v>
      </c>
      <c r="P317" s="170">
        <f t="shared" si="54"/>
        <v>0.30000000000000004</v>
      </c>
      <c r="Q317" s="170">
        <f t="shared" si="54"/>
        <v>0</v>
      </c>
      <c r="R317" s="122"/>
      <c r="S317" s="122"/>
      <c r="T317" s="74"/>
      <c r="U317" s="74"/>
      <c r="V317" s="74"/>
      <c r="W317" s="74"/>
      <c r="X317" s="74"/>
    </row>
    <row r="318" spans="1:24" s="4" customFormat="1" x14ac:dyDescent="0.25">
      <c r="A318" s="49"/>
      <c r="B318" s="218" t="s">
        <v>7</v>
      </c>
      <c r="C318" s="120"/>
      <c r="D318" s="170">
        <f t="shared" ref="D318:Q318" si="55">D303+D312+D317</f>
        <v>50.495999999999995</v>
      </c>
      <c r="E318" s="170">
        <f t="shared" si="55"/>
        <v>52.838000000000001</v>
      </c>
      <c r="F318" s="170">
        <f t="shared" si="55"/>
        <v>221.97399999999999</v>
      </c>
      <c r="G318" s="170">
        <f t="shared" si="55"/>
        <v>1521.636</v>
      </c>
      <c r="H318" s="170">
        <f t="shared" si="55"/>
        <v>1.456</v>
      </c>
      <c r="I318" s="170">
        <f t="shared" si="55"/>
        <v>67.200999999999993</v>
      </c>
      <c r="J318" s="170">
        <f t="shared" si="55"/>
        <v>0.33699999999999997</v>
      </c>
      <c r="K318" s="170">
        <f t="shared" si="55"/>
        <v>6.5540000000000003</v>
      </c>
      <c r="L318" s="170">
        <f t="shared" si="55"/>
        <v>651.23700000000008</v>
      </c>
      <c r="M318" s="170">
        <f t="shared" si="55"/>
        <v>528.69200000000001</v>
      </c>
      <c r="N318" s="170">
        <f t="shared" si="55"/>
        <v>172.751</v>
      </c>
      <c r="O318" s="170">
        <f t="shared" si="55"/>
        <v>9.5030000000000001</v>
      </c>
      <c r="P318" s="170">
        <f t="shared" si="55"/>
        <v>1.06</v>
      </c>
      <c r="Q318" s="170">
        <f t="shared" si="55"/>
        <v>45.349999999999994</v>
      </c>
      <c r="R318" s="122"/>
      <c r="S318" s="122"/>
      <c r="T318" s="74"/>
      <c r="U318" s="74"/>
      <c r="V318" s="74"/>
      <c r="W318" s="74"/>
      <c r="X318" s="74"/>
    </row>
    <row r="319" spans="1:24" s="4" customFormat="1" ht="19.5" customHeight="1" thickBot="1" x14ac:dyDescent="0.3">
      <c r="A319" s="344" t="s">
        <v>53</v>
      </c>
      <c r="B319" s="345"/>
      <c r="C319" s="345"/>
      <c r="D319" s="345"/>
      <c r="E319" s="345"/>
      <c r="F319" s="345"/>
      <c r="G319" s="345"/>
      <c r="H319" s="345"/>
      <c r="I319" s="345"/>
      <c r="J319" s="345"/>
      <c r="K319" s="345"/>
      <c r="L319" s="345"/>
      <c r="M319" s="345"/>
      <c r="N319" s="345"/>
      <c r="O319" s="345"/>
      <c r="P319" s="345"/>
      <c r="Q319" s="345"/>
      <c r="R319" s="345"/>
      <c r="S319" s="345"/>
      <c r="T319" s="74"/>
      <c r="U319" s="74"/>
      <c r="V319" s="74"/>
      <c r="W319" s="74"/>
      <c r="X319" s="74"/>
    </row>
    <row r="320" spans="1:24" s="4" customFormat="1" ht="19.5" customHeight="1" x14ac:dyDescent="0.25">
      <c r="A320" s="304" t="s">
        <v>3</v>
      </c>
      <c r="B320" s="305"/>
      <c r="C320" s="305"/>
      <c r="D320" s="305"/>
      <c r="E320" s="305"/>
      <c r="F320" s="305"/>
      <c r="G320" s="305"/>
      <c r="H320" s="305"/>
      <c r="I320" s="305"/>
      <c r="J320" s="305"/>
      <c r="K320" s="305"/>
      <c r="L320" s="305"/>
      <c r="M320" s="305"/>
      <c r="N320" s="305"/>
      <c r="O320" s="305"/>
      <c r="P320" s="305"/>
      <c r="Q320" s="305"/>
      <c r="R320" s="305"/>
      <c r="S320" s="305"/>
      <c r="T320" s="74"/>
      <c r="U320" s="74"/>
      <c r="V320" s="74"/>
      <c r="W320" s="74"/>
      <c r="X320" s="74"/>
    </row>
    <row r="321" spans="1:19" s="64" customFormat="1" ht="19.5" customHeight="1" x14ac:dyDescent="0.3">
      <c r="A321" s="49">
        <v>1</v>
      </c>
      <c r="B321" s="47" t="s">
        <v>224</v>
      </c>
      <c r="C321" s="41">
        <v>150</v>
      </c>
      <c r="D321" s="116">
        <f>15.4*C321/100</f>
        <v>23.1</v>
      </c>
      <c r="E321" s="116">
        <f>4.1*C321/100</f>
        <v>6.15</v>
      </c>
      <c r="F321" s="116">
        <f>16.2*C321/100</f>
        <v>24.3</v>
      </c>
      <c r="G321" s="116">
        <f>142.8*C321/100</f>
        <v>214.2</v>
      </c>
      <c r="H321" s="42">
        <f>C321*0.07/100</f>
        <v>0.10500000000000002</v>
      </c>
      <c r="I321" s="42">
        <f>0.42*C321/100</f>
        <v>0.63</v>
      </c>
      <c r="J321" s="42">
        <f>C321*0.06/100</f>
        <v>0.09</v>
      </c>
      <c r="K321" s="42">
        <f>C321*0.36/100</f>
        <v>0.54</v>
      </c>
      <c r="L321" s="42">
        <f>C321*142.97/100</f>
        <v>214.45500000000001</v>
      </c>
      <c r="M321" s="42">
        <f>C321*199.59/100</f>
        <v>299.38499999999999</v>
      </c>
      <c r="N321" s="42">
        <f>C321*25.32/100</f>
        <v>37.979999999999997</v>
      </c>
      <c r="O321" s="42">
        <f>C321*0.72/100</f>
        <v>1.08</v>
      </c>
      <c r="P321" s="128">
        <f>0.24*C321/100</f>
        <v>0.36</v>
      </c>
      <c r="Q321" s="128">
        <v>22.98</v>
      </c>
      <c r="R321" s="131">
        <v>120309</v>
      </c>
      <c r="S321" s="122">
        <v>120310</v>
      </c>
    </row>
    <row r="322" spans="1:19" s="64" customFormat="1" ht="19.5" customHeight="1" x14ac:dyDescent="0.3">
      <c r="A322" s="49">
        <v>2</v>
      </c>
      <c r="B322" s="47" t="s">
        <v>141</v>
      </c>
      <c r="C322" s="41">
        <v>30</v>
      </c>
      <c r="D322" s="116">
        <f>7.5*C322/100</f>
        <v>2.25</v>
      </c>
      <c r="E322" s="116">
        <f>5*C322/100</f>
        <v>1.5</v>
      </c>
      <c r="F322" s="116">
        <f>55.2*C322/100</f>
        <v>16.559999999999999</v>
      </c>
      <c r="G322" s="116">
        <f>295*C322/100</f>
        <v>88.5</v>
      </c>
      <c r="H322" s="42">
        <f>0.06*C322/100</f>
        <v>1.7999999999999999E-2</v>
      </c>
      <c r="I322" s="42">
        <f>1*C322/100</f>
        <v>0.3</v>
      </c>
      <c r="J322" s="42">
        <f>0.04*C322/100</f>
        <v>1.2E-2</v>
      </c>
      <c r="K322" s="42">
        <f>0.2*C322/100</f>
        <v>0.06</v>
      </c>
      <c r="L322" s="42">
        <f>307*C322/100</f>
        <v>92.1</v>
      </c>
      <c r="M322" s="42">
        <f>219*C322/100</f>
        <v>65.7</v>
      </c>
      <c r="N322" s="42">
        <f>34*C322/100</f>
        <v>10.199999999999999</v>
      </c>
      <c r="O322" s="42">
        <f>0.2*C322/100</f>
        <v>0.06</v>
      </c>
      <c r="P322" s="128">
        <f>0.38*C322/100</f>
        <v>0.114</v>
      </c>
      <c r="Q322" s="128">
        <f>9*C322/100</f>
        <v>2.7</v>
      </c>
      <c r="R322" s="131">
        <v>140201</v>
      </c>
      <c r="S322" s="122"/>
    </row>
    <row r="323" spans="1:19" s="63" customFormat="1" x14ac:dyDescent="0.2">
      <c r="A323" s="49">
        <v>3</v>
      </c>
      <c r="B323" s="47" t="s">
        <v>31</v>
      </c>
      <c r="C323" s="59">
        <v>200</v>
      </c>
      <c r="D323" s="60">
        <v>0</v>
      </c>
      <c r="E323" s="60">
        <v>0</v>
      </c>
      <c r="F323" s="60">
        <f>4.99*C323/100</f>
        <v>9.98</v>
      </c>
      <c r="G323" s="42">
        <f>19.95*C323/100</f>
        <v>39.9</v>
      </c>
      <c r="H323" s="42">
        <v>0</v>
      </c>
      <c r="I323" s="42">
        <v>0</v>
      </c>
      <c r="J323" s="42">
        <v>0</v>
      </c>
      <c r="K323" s="42">
        <v>0</v>
      </c>
      <c r="L323" s="48">
        <f>8.15*C323/100</f>
        <v>16.3</v>
      </c>
      <c r="M323" s="48">
        <f>0.02*C323/100</f>
        <v>0.04</v>
      </c>
      <c r="N323" s="48">
        <f>1.79*C323/100</f>
        <v>3.58</v>
      </c>
      <c r="O323" s="42">
        <f>0.02*C323/100</f>
        <v>0.04</v>
      </c>
      <c r="P323" s="49">
        <f>0.01*C323/100</f>
        <v>0.02</v>
      </c>
      <c r="Q323" s="49">
        <v>0.48</v>
      </c>
      <c r="R323" s="67">
        <v>160105</v>
      </c>
      <c r="S323" s="67"/>
    </row>
    <row r="324" spans="1:19" s="63" customFormat="1" x14ac:dyDescent="0.2">
      <c r="A324" s="49">
        <v>4</v>
      </c>
      <c r="B324" s="47" t="s">
        <v>160</v>
      </c>
      <c r="C324" s="41">
        <v>20</v>
      </c>
      <c r="D324" s="42">
        <f>7.76*C324/100</f>
        <v>1.5519999999999998</v>
      </c>
      <c r="E324" s="42">
        <f>2.65*C324/100</f>
        <v>0.53</v>
      </c>
      <c r="F324" s="42">
        <f>53.25*C324/100</f>
        <v>10.65</v>
      </c>
      <c r="G324" s="42">
        <f>273*C324/100</f>
        <v>54.6</v>
      </c>
      <c r="H324" s="42">
        <f>0.34*C324/100</f>
        <v>6.8000000000000005E-2</v>
      </c>
      <c r="I324" s="42">
        <f>0*C324/100</f>
        <v>0</v>
      </c>
      <c r="J324" s="42">
        <v>0</v>
      </c>
      <c r="K324" s="42">
        <f>1.5*C324/100</f>
        <v>0.3</v>
      </c>
      <c r="L324" s="48">
        <f>148.1*C324/100</f>
        <v>29.62</v>
      </c>
      <c r="M324" s="48">
        <f>0*C324/100</f>
        <v>0</v>
      </c>
      <c r="N324" s="48">
        <f>16*C324/100</f>
        <v>3.2</v>
      </c>
      <c r="O324" s="42">
        <f>2.4*C324/100</f>
        <v>0.48</v>
      </c>
      <c r="P324" s="56">
        <f>0.2*C324/100</f>
        <v>0.04</v>
      </c>
      <c r="Q324" s="56">
        <f>1.5*C324/100</f>
        <v>0.3</v>
      </c>
      <c r="R324" s="67">
        <v>200102</v>
      </c>
      <c r="S324" s="67"/>
    </row>
    <row r="325" spans="1:19" s="65" customFormat="1" ht="56.25" x14ac:dyDescent="0.2">
      <c r="A325" s="49">
        <v>5</v>
      </c>
      <c r="B325" s="178" t="s">
        <v>188</v>
      </c>
      <c r="C325" s="179">
        <v>20</v>
      </c>
      <c r="D325" s="180">
        <f>26*C325/100</f>
        <v>5.2</v>
      </c>
      <c r="E325" s="180">
        <f>26.1*C325/100</f>
        <v>5.22</v>
      </c>
      <c r="F325" s="180">
        <f>0*C325/100</f>
        <v>0</v>
      </c>
      <c r="G325" s="62">
        <f>344*C325/100</f>
        <v>68.8</v>
      </c>
      <c r="H325" s="56">
        <f>0.03*C325/100</f>
        <v>6.0000000000000001E-3</v>
      </c>
      <c r="I325" s="56">
        <f>0.8*C325/100</f>
        <v>0.16</v>
      </c>
      <c r="J325" s="56">
        <f>0.23*C325/100</f>
        <v>4.6000000000000006E-2</v>
      </c>
      <c r="K325" s="56">
        <f>0.5*C325/100</f>
        <v>0.1</v>
      </c>
      <c r="L325" s="123">
        <f>1000*C325/100</f>
        <v>200</v>
      </c>
      <c r="M325" s="123">
        <f>650*C325/100</f>
        <v>130</v>
      </c>
      <c r="N325" s="123">
        <f>45*C325/100</f>
        <v>9</v>
      </c>
      <c r="O325" s="56">
        <f>0.8*C325/100</f>
        <v>0.16</v>
      </c>
      <c r="P325" s="56">
        <f>0.3*C325/100</f>
        <v>0.06</v>
      </c>
      <c r="Q325" s="56">
        <v>0</v>
      </c>
      <c r="R325" s="67">
        <v>100102</v>
      </c>
      <c r="S325" s="181"/>
    </row>
    <row r="326" spans="1:19" s="52" customFormat="1" x14ac:dyDescent="0.2">
      <c r="A326" s="49">
        <v>6</v>
      </c>
      <c r="B326" s="47" t="s">
        <v>232</v>
      </c>
      <c r="C326" s="41" t="s">
        <v>274</v>
      </c>
      <c r="D326" s="42">
        <v>0.56000000000000005</v>
      </c>
      <c r="E326" s="42">
        <v>0.56000000000000005</v>
      </c>
      <c r="F326" s="42">
        <v>13.72</v>
      </c>
      <c r="G326" s="42">
        <v>65.8</v>
      </c>
      <c r="H326" s="42">
        <v>4.2000000000000003E-2</v>
      </c>
      <c r="I326" s="42">
        <v>14</v>
      </c>
      <c r="J326" s="42">
        <v>0</v>
      </c>
      <c r="K326" s="42">
        <v>0.28000000000000003</v>
      </c>
      <c r="L326" s="48">
        <v>22.4</v>
      </c>
      <c r="M326" s="48">
        <v>15.4</v>
      </c>
      <c r="N326" s="48">
        <v>12.6</v>
      </c>
      <c r="O326" s="42">
        <v>2.8000000000000004E-3</v>
      </c>
      <c r="P326" s="56">
        <v>2.8000000000000004E-2</v>
      </c>
      <c r="Q326" s="49">
        <f>2*140/100</f>
        <v>2.8</v>
      </c>
      <c r="R326" s="67">
        <v>210110</v>
      </c>
      <c r="S326" s="67"/>
    </row>
    <row r="327" spans="1:19" s="4" customFormat="1" ht="18.75" customHeight="1" x14ac:dyDescent="0.25">
      <c r="A327" s="49"/>
      <c r="B327" s="218" t="s">
        <v>4</v>
      </c>
      <c r="C327" s="120"/>
      <c r="D327" s="172">
        <f t="shared" ref="D327:Q327" si="56">SUM(D321:D326)</f>
        <v>32.662000000000006</v>
      </c>
      <c r="E327" s="172">
        <f t="shared" si="56"/>
        <v>13.959999999999999</v>
      </c>
      <c r="F327" s="172">
        <f t="shared" si="56"/>
        <v>75.210000000000008</v>
      </c>
      <c r="G327" s="172">
        <f t="shared" si="56"/>
        <v>531.79999999999995</v>
      </c>
      <c r="H327" s="172">
        <f t="shared" si="56"/>
        <v>0.23900000000000005</v>
      </c>
      <c r="I327" s="172">
        <f t="shared" si="56"/>
        <v>15.09</v>
      </c>
      <c r="J327" s="172">
        <f t="shared" si="56"/>
        <v>0.14799999999999999</v>
      </c>
      <c r="K327" s="172">
        <f t="shared" si="56"/>
        <v>1.2800000000000002</v>
      </c>
      <c r="L327" s="172">
        <f t="shared" si="56"/>
        <v>574.875</v>
      </c>
      <c r="M327" s="172">
        <f t="shared" si="56"/>
        <v>510.52499999999998</v>
      </c>
      <c r="N327" s="172">
        <f t="shared" si="56"/>
        <v>76.559999999999988</v>
      </c>
      <c r="O327" s="172">
        <f t="shared" si="56"/>
        <v>1.8228</v>
      </c>
      <c r="P327" s="170">
        <f t="shared" si="56"/>
        <v>0.62200000000000011</v>
      </c>
      <c r="Q327" s="170">
        <f t="shared" si="56"/>
        <v>29.26</v>
      </c>
      <c r="R327" s="122"/>
      <c r="S327" s="122"/>
    </row>
    <row r="328" spans="1:19" s="4" customFormat="1" ht="18.75" customHeight="1" x14ac:dyDescent="0.25">
      <c r="A328" s="300" t="s">
        <v>5</v>
      </c>
      <c r="B328" s="301"/>
      <c r="C328" s="301"/>
      <c r="D328" s="301"/>
      <c r="E328" s="301"/>
      <c r="F328" s="301"/>
      <c r="G328" s="301"/>
      <c r="H328" s="301"/>
      <c r="I328" s="301"/>
      <c r="J328" s="301"/>
      <c r="K328" s="301"/>
      <c r="L328" s="301"/>
      <c r="M328" s="301"/>
      <c r="N328" s="301"/>
      <c r="O328" s="301"/>
      <c r="P328" s="301"/>
      <c r="Q328" s="301"/>
      <c r="R328" s="301"/>
      <c r="S328" s="347"/>
    </row>
    <row r="329" spans="1:19" s="63" customFormat="1" ht="37.5" x14ac:dyDescent="0.2">
      <c r="A329" s="49">
        <v>1</v>
      </c>
      <c r="B329" s="47" t="s">
        <v>129</v>
      </c>
      <c r="C329" s="41">
        <v>60</v>
      </c>
      <c r="D329" s="42">
        <f>5.71*C329/100</f>
        <v>3.4260000000000002</v>
      </c>
      <c r="E329" s="42">
        <f>5.44*C329/100</f>
        <v>3.2640000000000002</v>
      </c>
      <c r="F329" s="42">
        <f>26.29*C329/100</f>
        <v>15.773999999999999</v>
      </c>
      <c r="G329" s="42">
        <f>176.91*C329/100</f>
        <v>106.146</v>
      </c>
      <c r="H329" s="42">
        <f>0.018*$C329/100</f>
        <v>1.0799999999999999E-2</v>
      </c>
      <c r="I329" s="42">
        <f>29.06*$C329/100</f>
        <v>17.436</v>
      </c>
      <c r="J329" s="42">
        <f>0.02*$C329/100</f>
        <v>1.2E-2</v>
      </c>
      <c r="K329" s="42">
        <f>0.04*$C329/100</f>
        <v>2.4E-2</v>
      </c>
      <c r="L329" s="48">
        <f>22.94*$C329/100</f>
        <v>13.764000000000001</v>
      </c>
      <c r="M329" s="48">
        <f>143.46*$C329/100</f>
        <v>86.076000000000008</v>
      </c>
      <c r="N329" s="48">
        <f>45.45*$C329/100</f>
        <v>27.27</v>
      </c>
      <c r="O329" s="42">
        <f>1.88*$C329/100</f>
        <v>1.1279999999999999</v>
      </c>
      <c r="P329" s="49">
        <f>0.12*C329/100</f>
        <v>7.1999999999999995E-2</v>
      </c>
      <c r="Q329" s="49">
        <v>4.32</v>
      </c>
      <c r="R329" s="67">
        <v>100508</v>
      </c>
      <c r="S329" s="67"/>
    </row>
    <row r="330" spans="1:19" s="63" customFormat="1" x14ac:dyDescent="0.2">
      <c r="A330" s="49">
        <v>2</v>
      </c>
      <c r="B330" s="47" t="s">
        <v>209</v>
      </c>
      <c r="C330" s="41">
        <v>250</v>
      </c>
      <c r="D330" s="42">
        <f>3.4*C330/100</f>
        <v>8.5</v>
      </c>
      <c r="E330" s="42">
        <f>1.1*C330/100</f>
        <v>2.75</v>
      </c>
      <c r="F330" s="42">
        <f>3.8*C330/100</f>
        <v>9.5</v>
      </c>
      <c r="G330" s="42">
        <f>38.7*C330/100</f>
        <v>96.75</v>
      </c>
      <c r="H330" s="42">
        <f>0.01*C330/100</f>
        <v>2.5000000000000001E-2</v>
      </c>
      <c r="I330" s="42">
        <f>2.83*C330/100</f>
        <v>7.0750000000000002</v>
      </c>
      <c r="J330" s="42">
        <f>0.62*C330/100</f>
        <v>1.55</v>
      </c>
      <c r="K330" s="42">
        <f>1.08*C330/100</f>
        <v>2.7</v>
      </c>
      <c r="L330" s="48">
        <f>6.54*C330/100</f>
        <v>16.350000000000001</v>
      </c>
      <c r="M330" s="48">
        <f>12.95*C330/100</f>
        <v>32.375</v>
      </c>
      <c r="N330" s="48">
        <f>5.65*C330/100</f>
        <v>14.125</v>
      </c>
      <c r="O330" s="42">
        <f>0.19*C330/100</f>
        <v>0.47499999999999998</v>
      </c>
      <c r="P330" s="49">
        <v>0.03</v>
      </c>
      <c r="Q330" s="49">
        <v>2.73</v>
      </c>
      <c r="R330" s="67">
        <v>110303</v>
      </c>
      <c r="S330" s="177">
        <v>110304</v>
      </c>
    </row>
    <row r="331" spans="1:19" s="63" customFormat="1" ht="37.5" x14ac:dyDescent="0.2">
      <c r="A331" s="49">
        <v>3</v>
      </c>
      <c r="B331" s="47" t="s">
        <v>127</v>
      </c>
      <c r="C331" s="41">
        <v>150</v>
      </c>
      <c r="D331" s="42">
        <f>9.62*C331/100</f>
        <v>14.429999999999998</v>
      </c>
      <c r="E331" s="42">
        <f>17.29*C331/100</f>
        <v>25.934999999999999</v>
      </c>
      <c r="F331" s="42">
        <f>22.43*C331/100</f>
        <v>33.645000000000003</v>
      </c>
      <c r="G331" s="42">
        <f>280.58*C331/100</f>
        <v>420.87</v>
      </c>
      <c r="H331" s="42">
        <f>0.12*C331/100</f>
        <v>0.18</v>
      </c>
      <c r="I331" s="42">
        <v>0</v>
      </c>
      <c r="J331" s="42">
        <f>0.01*C331/100</f>
        <v>1.4999999999999999E-2</v>
      </c>
      <c r="K331" s="42">
        <f>0.04*C331/100</f>
        <v>0.06</v>
      </c>
      <c r="L331" s="48">
        <f>28.97*C331/100</f>
        <v>43.454999999999998</v>
      </c>
      <c r="M331" s="48">
        <f>79.86*C331/100</f>
        <v>119.79</v>
      </c>
      <c r="N331" s="48">
        <f>16.3*C331/100</f>
        <v>24.45</v>
      </c>
      <c r="O331" s="42">
        <f>1.05*C331/100</f>
        <v>1.575</v>
      </c>
      <c r="P331" s="49">
        <f>0.06*C331/100</f>
        <v>0.09</v>
      </c>
      <c r="Q331" s="49">
        <v>0</v>
      </c>
      <c r="R331" s="233">
        <v>120529</v>
      </c>
      <c r="S331" s="67"/>
    </row>
    <row r="332" spans="1:19" s="37" customFormat="1" x14ac:dyDescent="0.2">
      <c r="A332" s="49">
        <v>4</v>
      </c>
      <c r="B332" s="47" t="s">
        <v>132</v>
      </c>
      <c r="C332" s="41">
        <v>200</v>
      </c>
      <c r="D332" s="42">
        <f>0.09*C332/100</f>
        <v>0.18</v>
      </c>
      <c r="E332" s="42">
        <f>0.02*C332/100</f>
        <v>0.04</v>
      </c>
      <c r="F332" s="42">
        <f>9.1*C332/100</f>
        <v>18.2</v>
      </c>
      <c r="G332" s="42">
        <f>27.67*C332/100</f>
        <v>55.34</v>
      </c>
      <c r="H332" s="42">
        <f>0*C332/100</f>
        <v>0</v>
      </c>
      <c r="I332" s="42">
        <f>1.65*C332/100</f>
        <v>3.3</v>
      </c>
      <c r="J332" s="42">
        <f>0*C332/100</f>
        <v>0</v>
      </c>
      <c r="K332" s="42">
        <f>0.03*C332/100</f>
        <v>0.06</v>
      </c>
      <c r="L332" s="48">
        <f>8.28*C332/100</f>
        <v>16.559999999999999</v>
      </c>
      <c r="M332" s="48">
        <f>3.3*C332/100</f>
        <v>6.6</v>
      </c>
      <c r="N332" s="48">
        <f>3.76*C332/100</f>
        <v>7.52</v>
      </c>
      <c r="O332" s="42">
        <f>0.07*C332/100</f>
        <v>0.14000000000000001</v>
      </c>
      <c r="P332" s="62">
        <v>0</v>
      </c>
      <c r="Q332" s="62">
        <v>2.3199999999999998</v>
      </c>
      <c r="R332" s="67">
        <v>160204</v>
      </c>
      <c r="S332" s="67"/>
    </row>
    <row r="333" spans="1:19" s="63" customFormat="1" x14ac:dyDescent="0.2">
      <c r="A333" s="49">
        <v>5</v>
      </c>
      <c r="B333" s="47" t="s">
        <v>160</v>
      </c>
      <c r="C333" s="41">
        <v>40</v>
      </c>
      <c r="D333" s="42">
        <f>7.76*C333/100</f>
        <v>3.1039999999999996</v>
      </c>
      <c r="E333" s="42">
        <f>2.65*C333/100</f>
        <v>1.06</v>
      </c>
      <c r="F333" s="42">
        <f>53.25*C333/100</f>
        <v>21.3</v>
      </c>
      <c r="G333" s="42">
        <f>273*C333/100</f>
        <v>109.2</v>
      </c>
      <c r="H333" s="42">
        <f>0.34*C333/100</f>
        <v>0.13600000000000001</v>
      </c>
      <c r="I333" s="42">
        <f>0*C333/100</f>
        <v>0</v>
      </c>
      <c r="J333" s="42">
        <v>0</v>
      </c>
      <c r="K333" s="42">
        <f>1.5*C333/100</f>
        <v>0.6</v>
      </c>
      <c r="L333" s="48">
        <f>148.1*C333/100</f>
        <v>59.24</v>
      </c>
      <c r="M333" s="48">
        <f>0*C333/100</f>
        <v>0</v>
      </c>
      <c r="N333" s="48">
        <f>16*C333/100</f>
        <v>6.4</v>
      </c>
      <c r="O333" s="42">
        <f>2.4*C333/100</f>
        <v>0.96</v>
      </c>
      <c r="P333" s="56">
        <f>0.2*C333/100</f>
        <v>0.08</v>
      </c>
      <c r="Q333" s="56">
        <f>1.5*C333/100</f>
        <v>0.6</v>
      </c>
      <c r="R333" s="67">
        <v>200102</v>
      </c>
      <c r="S333" s="67"/>
    </row>
    <row r="334" spans="1:19" s="63" customFormat="1" x14ac:dyDescent="0.2">
      <c r="A334" s="49">
        <v>6</v>
      </c>
      <c r="B334" s="47" t="s">
        <v>159</v>
      </c>
      <c r="C334" s="41">
        <v>20</v>
      </c>
      <c r="D334" s="42">
        <f>5.86*C334/100</f>
        <v>1.1719999999999999</v>
      </c>
      <c r="E334" s="42">
        <f>0.94*C334/100</f>
        <v>0.18799999999999997</v>
      </c>
      <c r="F334" s="42">
        <f>44.4*C334/100</f>
        <v>8.8800000000000008</v>
      </c>
      <c r="G334" s="42">
        <f>189*C334/100</f>
        <v>37.799999999999997</v>
      </c>
      <c r="H334" s="42">
        <f>0.4*C334/100</f>
        <v>0.08</v>
      </c>
      <c r="I334" s="42">
        <f>0.03*C334/100</f>
        <v>6.0000000000000001E-3</v>
      </c>
      <c r="J334" s="42">
        <v>0</v>
      </c>
      <c r="K334" s="42">
        <f>1.7*C334/100</f>
        <v>0.34</v>
      </c>
      <c r="L334" s="48">
        <f>25.4*C334/100</f>
        <v>5.08</v>
      </c>
      <c r="M334" s="48">
        <f>105.53*C334/100</f>
        <v>21.105999999999998</v>
      </c>
      <c r="N334" s="48">
        <f>36.5*C334/100</f>
        <v>7.3</v>
      </c>
      <c r="O334" s="42">
        <f>2.45*C334/100</f>
        <v>0.49</v>
      </c>
      <c r="P334" s="56">
        <f>0.2*C334/100</f>
        <v>0.04</v>
      </c>
      <c r="Q334" s="56">
        <f>10*C334/100</f>
        <v>2</v>
      </c>
      <c r="R334" s="67">
        <v>200103</v>
      </c>
      <c r="S334" s="67"/>
    </row>
    <row r="335" spans="1:19" s="4" customFormat="1" ht="18.75" customHeight="1" thickBot="1" x14ac:dyDescent="0.3">
      <c r="A335" s="49"/>
      <c r="B335" s="218" t="s">
        <v>4</v>
      </c>
      <c r="C335" s="120"/>
      <c r="D335" s="170">
        <f t="shared" ref="D335:Q335" si="57">SUM(D329:D334)</f>
        <v>30.811999999999998</v>
      </c>
      <c r="E335" s="170">
        <f t="shared" si="57"/>
        <v>33.237000000000002</v>
      </c>
      <c r="F335" s="170">
        <f t="shared" si="57"/>
        <v>107.29899999999999</v>
      </c>
      <c r="G335" s="170">
        <f t="shared" si="57"/>
        <v>826.10600000000011</v>
      </c>
      <c r="H335" s="170">
        <f t="shared" si="57"/>
        <v>0.43180000000000002</v>
      </c>
      <c r="I335" s="170">
        <f t="shared" si="57"/>
        <v>27.817</v>
      </c>
      <c r="J335" s="170">
        <f t="shared" si="57"/>
        <v>1.577</v>
      </c>
      <c r="K335" s="170">
        <f t="shared" si="57"/>
        <v>3.7840000000000003</v>
      </c>
      <c r="L335" s="170">
        <f t="shared" si="57"/>
        <v>154.44900000000001</v>
      </c>
      <c r="M335" s="170">
        <f t="shared" si="57"/>
        <v>265.947</v>
      </c>
      <c r="N335" s="170">
        <f t="shared" si="57"/>
        <v>87.064999999999998</v>
      </c>
      <c r="O335" s="170">
        <f t="shared" si="57"/>
        <v>4.7680000000000007</v>
      </c>
      <c r="P335" s="170">
        <f t="shared" si="57"/>
        <v>0.312</v>
      </c>
      <c r="Q335" s="170">
        <f t="shared" si="57"/>
        <v>11.97</v>
      </c>
      <c r="R335" s="122"/>
      <c r="S335" s="122"/>
    </row>
    <row r="336" spans="1:19" s="4" customFormat="1" ht="18.75" customHeight="1" x14ac:dyDescent="0.25">
      <c r="A336" s="349" t="s">
        <v>35</v>
      </c>
      <c r="B336" s="350"/>
      <c r="C336" s="350"/>
      <c r="D336" s="350"/>
      <c r="E336" s="350"/>
      <c r="F336" s="350"/>
      <c r="G336" s="350"/>
      <c r="H336" s="350"/>
      <c r="I336" s="350"/>
      <c r="J336" s="350"/>
      <c r="K336" s="350"/>
      <c r="L336" s="350"/>
      <c r="M336" s="350"/>
      <c r="N336" s="350"/>
      <c r="O336" s="350"/>
      <c r="P336" s="350"/>
      <c r="Q336" s="350"/>
      <c r="R336" s="350"/>
      <c r="S336" s="351"/>
    </row>
    <row r="337" spans="1:24" s="63" customFormat="1" x14ac:dyDescent="0.2">
      <c r="A337" s="49">
        <v>1</v>
      </c>
      <c r="B337" s="47" t="s">
        <v>166</v>
      </c>
      <c r="C337" s="41">
        <v>60</v>
      </c>
      <c r="D337" s="94">
        <f>13.88*C337/100</f>
        <v>8.3280000000000012</v>
      </c>
      <c r="E337" s="94">
        <f>27.39*C337/100</f>
        <v>16.434000000000001</v>
      </c>
      <c r="F337" s="94">
        <f>19.55*C337/100</f>
        <v>11.73</v>
      </c>
      <c r="G337" s="94">
        <f>325.42*C337/100</f>
        <v>195.25200000000001</v>
      </c>
      <c r="H337" s="42">
        <f>0.16*C337/100</f>
        <v>9.6000000000000002E-2</v>
      </c>
      <c r="I337" s="42">
        <f>26.32*C337/100</f>
        <v>15.792</v>
      </c>
      <c r="J337" s="42">
        <f>0.08*C337/100</f>
        <v>4.8000000000000001E-2</v>
      </c>
      <c r="K337" s="42">
        <f>0.18*C337/100</f>
        <v>0.10799999999999998</v>
      </c>
      <c r="L337" s="48">
        <f>243.83*C337/100</f>
        <v>146.298</v>
      </c>
      <c r="M337" s="48">
        <f>118.08*C337/100</f>
        <v>70.847999999999999</v>
      </c>
      <c r="N337" s="48">
        <f>14*C337/100</f>
        <v>8.4</v>
      </c>
      <c r="O337" s="42">
        <f>1.98*C337/100</f>
        <v>1.1879999999999999</v>
      </c>
      <c r="P337" s="49">
        <f>0.19*C337/100</f>
        <v>0.114</v>
      </c>
      <c r="Q337" s="49">
        <v>0</v>
      </c>
      <c r="R337" s="67">
        <v>100104</v>
      </c>
      <c r="S337" s="67"/>
    </row>
    <row r="338" spans="1:24" s="63" customFormat="1" x14ac:dyDescent="0.2">
      <c r="A338" s="49">
        <v>2</v>
      </c>
      <c r="B338" s="47" t="s">
        <v>233</v>
      </c>
      <c r="C338" s="41">
        <v>200</v>
      </c>
      <c r="D338" s="171">
        <f>0*C338/100</f>
        <v>0</v>
      </c>
      <c r="E338" s="171">
        <f>0*C338/100</f>
        <v>0</v>
      </c>
      <c r="F338" s="171">
        <f>0*C338/100</f>
        <v>0</v>
      </c>
      <c r="G338" s="171">
        <f>17*C338/100</f>
        <v>34</v>
      </c>
      <c r="H338" s="42">
        <v>0</v>
      </c>
      <c r="I338" s="42">
        <v>0</v>
      </c>
      <c r="J338" s="42">
        <v>0</v>
      </c>
      <c r="K338" s="42">
        <v>0</v>
      </c>
      <c r="L338" s="48">
        <v>4.8600000000000003</v>
      </c>
      <c r="M338" s="48">
        <v>0</v>
      </c>
      <c r="N338" s="48">
        <v>1.08</v>
      </c>
      <c r="O338" s="42">
        <v>0</v>
      </c>
      <c r="P338" s="49">
        <v>0</v>
      </c>
      <c r="Q338" s="49">
        <v>0</v>
      </c>
      <c r="R338" s="67">
        <v>160107</v>
      </c>
      <c r="S338" s="67"/>
    </row>
    <row r="339" spans="1:24" s="63" customFormat="1" x14ac:dyDescent="0.3">
      <c r="A339" s="49">
        <v>3</v>
      </c>
      <c r="B339" s="47" t="s">
        <v>140</v>
      </c>
      <c r="C339" s="41">
        <v>10</v>
      </c>
      <c r="D339" s="171">
        <f>0*C339/100</f>
        <v>0</v>
      </c>
      <c r="E339" s="171">
        <f>0*C339/100</f>
        <v>0</v>
      </c>
      <c r="F339" s="171">
        <f>99.8*C339/100</f>
        <v>9.98</v>
      </c>
      <c r="G339" s="171">
        <f>374.3*C339/100</f>
        <v>37.43</v>
      </c>
      <c r="H339" s="42">
        <v>0</v>
      </c>
      <c r="I339" s="42">
        <v>0</v>
      </c>
      <c r="J339" s="42">
        <v>0</v>
      </c>
      <c r="K339" s="42">
        <v>0</v>
      </c>
      <c r="L339" s="42">
        <v>0.2</v>
      </c>
      <c r="M339" s="42">
        <v>0</v>
      </c>
      <c r="N339" s="42">
        <v>0</v>
      </c>
      <c r="O339" s="42">
        <v>0.03</v>
      </c>
      <c r="P339" s="55">
        <v>0</v>
      </c>
      <c r="Q339" s="55">
        <v>0</v>
      </c>
      <c r="R339" s="67"/>
      <c r="S339" s="67"/>
    </row>
    <row r="340" spans="1:24" s="4" customFormat="1" x14ac:dyDescent="0.25">
      <c r="A340" s="49"/>
      <c r="B340" s="218" t="s">
        <v>4</v>
      </c>
      <c r="C340" s="120"/>
      <c r="D340" s="172">
        <f t="shared" ref="D340:Q340" si="58">SUM(D337:D339)</f>
        <v>8.3280000000000012</v>
      </c>
      <c r="E340" s="172">
        <f t="shared" si="58"/>
        <v>16.434000000000001</v>
      </c>
      <c r="F340" s="172">
        <f t="shared" si="58"/>
        <v>21.71</v>
      </c>
      <c r="G340" s="172">
        <f t="shared" si="58"/>
        <v>266.68200000000002</v>
      </c>
      <c r="H340" s="172">
        <f t="shared" si="58"/>
        <v>9.6000000000000002E-2</v>
      </c>
      <c r="I340" s="172">
        <f t="shared" si="58"/>
        <v>15.792</v>
      </c>
      <c r="J340" s="172">
        <f t="shared" si="58"/>
        <v>4.8000000000000001E-2</v>
      </c>
      <c r="K340" s="172">
        <f t="shared" si="58"/>
        <v>0.10799999999999998</v>
      </c>
      <c r="L340" s="172">
        <f t="shared" si="58"/>
        <v>151.358</v>
      </c>
      <c r="M340" s="172">
        <f t="shared" si="58"/>
        <v>70.847999999999999</v>
      </c>
      <c r="N340" s="172">
        <f t="shared" si="58"/>
        <v>9.48</v>
      </c>
      <c r="O340" s="172">
        <f t="shared" si="58"/>
        <v>1.218</v>
      </c>
      <c r="P340" s="170">
        <f t="shared" si="58"/>
        <v>0.114</v>
      </c>
      <c r="Q340" s="170">
        <f t="shared" si="58"/>
        <v>0</v>
      </c>
      <c r="R340" s="122"/>
      <c r="S340" s="122"/>
    </row>
    <row r="341" spans="1:24" s="4" customFormat="1" ht="18.75" customHeight="1" x14ac:dyDescent="0.25">
      <c r="A341" s="49"/>
      <c r="B341" s="218" t="s">
        <v>7</v>
      </c>
      <c r="C341" s="120"/>
      <c r="D341" s="170">
        <f t="shared" ref="D341:Q341" si="59">D327+D335+D340</f>
        <v>71.802000000000007</v>
      </c>
      <c r="E341" s="170">
        <f t="shared" si="59"/>
        <v>63.631</v>
      </c>
      <c r="F341" s="170">
        <f t="shared" si="59"/>
        <v>204.21900000000002</v>
      </c>
      <c r="G341" s="170">
        <f t="shared" si="59"/>
        <v>1624.588</v>
      </c>
      <c r="H341" s="170">
        <f t="shared" si="59"/>
        <v>0.76680000000000004</v>
      </c>
      <c r="I341" s="170">
        <f t="shared" si="59"/>
        <v>58.698999999999998</v>
      </c>
      <c r="J341" s="170">
        <f t="shared" si="59"/>
        <v>1.7729999999999999</v>
      </c>
      <c r="K341" s="170">
        <f t="shared" si="59"/>
        <v>5.1719999999999997</v>
      </c>
      <c r="L341" s="170">
        <f t="shared" si="59"/>
        <v>880.68200000000002</v>
      </c>
      <c r="M341" s="170">
        <f t="shared" si="59"/>
        <v>847.31999999999994</v>
      </c>
      <c r="N341" s="170">
        <f t="shared" si="59"/>
        <v>173.10499999999999</v>
      </c>
      <c r="O341" s="170">
        <f t="shared" si="59"/>
        <v>7.8088000000000006</v>
      </c>
      <c r="P341" s="170">
        <f t="shared" si="59"/>
        <v>1.0480000000000003</v>
      </c>
      <c r="Q341" s="170">
        <f t="shared" si="59"/>
        <v>41.230000000000004</v>
      </c>
      <c r="R341" s="122"/>
      <c r="S341" s="122"/>
    </row>
    <row r="342" spans="1:24" s="4" customFormat="1" ht="19.5" customHeight="1" thickBot="1" x14ac:dyDescent="0.3">
      <c r="A342" s="344" t="s">
        <v>54</v>
      </c>
      <c r="B342" s="345"/>
      <c r="C342" s="345"/>
      <c r="D342" s="345"/>
      <c r="E342" s="345"/>
      <c r="F342" s="345"/>
      <c r="G342" s="345"/>
      <c r="H342" s="345"/>
      <c r="I342" s="345"/>
      <c r="J342" s="345"/>
      <c r="K342" s="345"/>
      <c r="L342" s="345"/>
      <c r="M342" s="345"/>
      <c r="N342" s="345"/>
      <c r="O342" s="345"/>
      <c r="P342" s="345"/>
      <c r="Q342" s="345"/>
      <c r="R342" s="345"/>
      <c r="S342" s="348"/>
    </row>
    <row r="343" spans="1:24" s="4" customFormat="1" ht="19.5" customHeight="1" x14ac:dyDescent="0.25">
      <c r="A343" s="304" t="s">
        <v>3</v>
      </c>
      <c r="B343" s="305"/>
      <c r="C343" s="305"/>
      <c r="D343" s="305"/>
      <c r="E343" s="305"/>
      <c r="F343" s="305"/>
      <c r="G343" s="305"/>
      <c r="H343" s="305"/>
      <c r="I343" s="305"/>
      <c r="J343" s="305"/>
      <c r="K343" s="305"/>
      <c r="L343" s="305"/>
      <c r="M343" s="305"/>
      <c r="N343" s="305"/>
      <c r="O343" s="305"/>
      <c r="P343" s="305"/>
      <c r="Q343" s="305"/>
      <c r="R343" s="305"/>
      <c r="S343" s="346"/>
    </row>
    <row r="344" spans="1:24" s="63" customFormat="1" ht="37.5" x14ac:dyDescent="0.2">
      <c r="A344" s="49">
        <v>1</v>
      </c>
      <c r="B344" s="47" t="s">
        <v>215</v>
      </c>
      <c r="C344" s="41">
        <v>150</v>
      </c>
      <c r="D344" s="42">
        <f>11.31*C344/100</f>
        <v>16.965</v>
      </c>
      <c r="E344" s="42">
        <f>12.08*C344/100</f>
        <v>18.12</v>
      </c>
      <c r="F344" s="42">
        <f>1.19*C344/100</f>
        <v>1.7849999999999999</v>
      </c>
      <c r="G344" s="42">
        <f>158.34*C344/100</f>
        <v>237.51</v>
      </c>
      <c r="H344" s="42">
        <f>0.04*C344/100</f>
        <v>0.06</v>
      </c>
      <c r="I344" s="42">
        <f>0.25*C344/100</f>
        <v>0.375</v>
      </c>
      <c r="J344" s="42">
        <f>0.01*C344/100</f>
        <v>1.4999999999999999E-2</v>
      </c>
      <c r="K344" s="42">
        <f>0.02*C344/100</f>
        <v>0.03</v>
      </c>
      <c r="L344" s="48">
        <f>4.64*C344/100</f>
        <v>6.96</v>
      </c>
      <c r="M344" s="48">
        <f>53.98*C344/100</f>
        <v>80.969999999999985</v>
      </c>
      <c r="N344" s="48">
        <f>7*C344/100</f>
        <v>10.5</v>
      </c>
      <c r="O344" s="42">
        <f>0.52*C344/100</f>
        <v>0.78</v>
      </c>
      <c r="P344" s="49">
        <v>0</v>
      </c>
      <c r="Q344" s="49">
        <v>3.5</v>
      </c>
      <c r="R344" s="67">
        <v>120303</v>
      </c>
      <c r="S344" s="67"/>
    </row>
    <row r="345" spans="1:24" s="63" customFormat="1" x14ac:dyDescent="0.2">
      <c r="A345" s="49">
        <v>2</v>
      </c>
      <c r="B345" s="47" t="s">
        <v>233</v>
      </c>
      <c r="C345" s="41">
        <v>200</v>
      </c>
      <c r="D345" s="171">
        <f>0*C345/100</f>
        <v>0</v>
      </c>
      <c r="E345" s="171">
        <f>0*C345/100</f>
        <v>0</v>
      </c>
      <c r="F345" s="171">
        <f>0*C345/100</f>
        <v>0</v>
      </c>
      <c r="G345" s="171">
        <f>17*C345/100</f>
        <v>34</v>
      </c>
      <c r="H345" s="42">
        <v>0</v>
      </c>
      <c r="I345" s="42">
        <v>0</v>
      </c>
      <c r="J345" s="42">
        <v>0</v>
      </c>
      <c r="K345" s="42">
        <v>0</v>
      </c>
      <c r="L345" s="48">
        <v>4.8600000000000003</v>
      </c>
      <c r="M345" s="48">
        <v>0</v>
      </c>
      <c r="N345" s="48">
        <v>1.08</v>
      </c>
      <c r="O345" s="42">
        <v>0</v>
      </c>
      <c r="P345" s="49">
        <v>0</v>
      </c>
      <c r="Q345" s="49">
        <v>0</v>
      </c>
      <c r="R345" s="67">
        <v>160107</v>
      </c>
      <c r="S345" s="67"/>
    </row>
    <row r="346" spans="1:24" s="63" customFormat="1" x14ac:dyDescent="0.3">
      <c r="A346" s="49">
        <v>3</v>
      </c>
      <c r="B346" s="47" t="s">
        <v>140</v>
      </c>
      <c r="C346" s="41">
        <v>10</v>
      </c>
      <c r="D346" s="171">
        <f>0*C346/100</f>
        <v>0</v>
      </c>
      <c r="E346" s="171">
        <f>0*C346/100</f>
        <v>0</v>
      </c>
      <c r="F346" s="171">
        <f>99.8*C346/100</f>
        <v>9.98</v>
      </c>
      <c r="G346" s="171">
        <f>374.3*C346/100</f>
        <v>37.43</v>
      </c>
      <c r="H346" s="42">
        <v>0</v>
      </c>
      <c r="I346" s="42">
        <v>0</v>
      </c>
      <c r="J346" s="42">
        <v>0</v>
      </c>
      <c r="K346" s="42">
        <v>0</v>
      </c>
      <c r="L346" s="42">
        <v>0.2</v>
      </c>
      <c r="M346" s="42">
        <v>0</v>
      </c>
      <c r="N346" s="42">
        <v>0</v>
      </c>
      <c r="O346" s="42">
        <v>0.03</v>
      </c>
      <c r="P346" s="55">
        <v>0</v>
      </c>
      <c r="Q346" s="55">
        <v>0</v>
      </c>
      <c r="R346" s="67"/>
      <c r="S346" s="67"/>
    </row>
    <row r="347" spans="1:24" s="63" customFormat="1" ht="37.5" x14ac:dyDescent="0.2">
      <c r="A347" s="49">
        <v>4</v>
      </c>
      <c r="B347" s="47" t="s">
        <v>164</v>
      </c>
      <c r="C347" s="41">
        <v>10</v>
      </c>
      <c r="D347" s="42">
        <f>0.5*C347/100</f>
        <v>0.05</v>
      </c>
      <c r="E347" s="42">
        <f>82.5*C347/100</f>
        <v>8.25</v>
      </c>
      <c r="F347" s="42">
        <f>0.8*C347/100</f>
        <v>0.08</v>
      </c>
      <c r="G347" s="42">
        <f>748*C347/100</f>
        <v>74.8</v>
      </c>
      <c r="H347" s="42">
        <v>0</v>
      </c>
      <c r="I347" s="42">
        <v>0</v>
      </c>
      <c r="J347" s="42">
        <f>0.4*C347/100</f>
        <v>0.04</v>
      </c>
      <c r="K347" s="42">
        <f>1*C347/100</f>
        <v>0.1</v>
      </c>
      <c r="L347" s="48">
        <f>12*C347/100</f>
        <v>1.2</v>
      </c>
      <c r="M347" s="48">
        <f>19*C347/100</f>
        <v>1.9</v>
      </c>
      <c r="N347" s="48">
        <f>0*C347/100</f>
        <v>0</v>
      </c>
      <c r="O347" s="42">
        <f>0.2*C347/100</f>
        <v>0.02</v>
      </c>
      <c r="P347" s="56">
        <f>0.1*C347/100</f>
        <v>0.01</v>
      </c>
      <c r="Q347" s="49">
        <v>0</v>
      </c>
      <c r="R347" s="67"/>
      <c r="S347" s="67"/>
    </row>
    <row r="348" spans="1:24" s="63" customFormat="1" x14ac:dyDescent="0.2">
      <c r="A348" s="49">
        <v>5</v>
      </c>
      <c r="B348" s="47" t="s">
        <v>160</v>
      </c>
      <c r="C348" s="41">
        <v>20</v>
      </c>
      <c r="D348" s="42">
        <f>7.76*C348/100</f>
        <v>1.5519999999999998</v>
      </c>
      <c r="E348" s="42">
        <f>2.65*C348/100</f>
        <v>0.53</v>
      </c>
      <c r="F348" s="42">
        <f>53.25*C348/100</f>
        <v>10.65</v>
      </c>
      <c r="G348" s="42">
        <f>273*C348/100</f>
        <v>54.6</v>
      </c>
      <c r="H348" s="42">
        <f>0.34*C348/100</f>
        <v>6.8000000000000005E-2</v>
      </c>
      <c r="I348" s="42">
        <f>0*C348/100</f>
        <v>0</v>
      </c>
      <c r="J348" s="42">
        <v>0</v>
      </c>
      <c r="K348" s="42">
        <f>1.5*C348/100</f>
        <v>0.3</v>
      </c>
      <c r="L348" s="48">
        <f>148.1*C348/100</f>
        <v>29.62</v>
      </c>
      <c r="M348" s="48">
        <f>0*C348/100</f>
        <v>0</v>
      </c>
      <c r="N348" s="48">
        <f>16*C348/100</f>
        <v>3.2</v>
      </c>
      <c r="O348" s="42">
        <f>2.4*C348/100</f>
        <v>0.48</v>
      </c>
      <c r="P348" s="56">
        <f>0.2*C348/100</f>
        <v>0.04</v>
      </c>
      <c r="Q348" s="56">
        <f>1.5*C348/100</f>
        <v>0.3</v>
      </c>
      <c r="R348" s="67">
        <v>200102</v>
      </c>
      <c r="S348" s="67"/>
    </row>
    <row r="349" spans="1:24" s="64" customFormat="1" x14ac:dyDescent="0.3">
      <c r="A349" s="49">
        <v>6</v>
      </c>
      <c r="B349" s="47" t="s">
        <v>187</v>
      </c>
      <c r="C349" s="41">
        <v>100</v>
      </c>
      <c r="D349" s="42">
        <f>5*C349/100</f>
        <v>5</v>
      </c>
      <c r="E349" s="171">
        <f>3.2*C349/100</f>
        <v>3.2</v>
      </c>
      <c r="F349" s="42">
        <f>8.5*C349/100</f>
        <v>8.5</v>
      </c>
      <c r="G349" s="171">
        <f>80.7*C349/100</f>
        <v>80.7</v>
      </c>
      <c r="H349" s="42">
        <f>0.04*C349/100</f>
        <v>0.04</v>
      </c>
      <c r="I349" s="171">
        <f>0.6*C349/100</f>
        <v>0.6</v>
      </c>
      <c r="J349" s="42">
        <f>0.03*C349/100</f>
        <v>0.03</v>
      </c>
      <c r="K349" s="171">
        <v>0</v>
      </c>
      <c r="L349" s="42">
        <f>122*C349/100</f>
        <v>122</v>
      </c>
      <c r="M349" s="42">
        <f>96*C349/100</f>
        <v>96</v>
      </c>
      <c r="N349" s="42">
        <f>15*C349/100</f>
        <v>15</v>
      </c>
      <c r="O349" s="42">
        <f>0.1*C349/100</f>
        <v>0.1</v>
      </c>
      <c r="P349" s="42">
        <f>0.2*C349/100</f>
        <v>0.2</v>
      </c>
      <c r="Q349" s="42">
        <v>0</v>
      </c>
      <c r="R349" s="42"/>
      <c r="S349" s="42"/>
      <c r="T349" s="69"/>
      <c r="U349" s="69"/>
      <c r="V349" s="70"/>
      <c r="W349" s="70"/>
      <c r="X349" s="71"/>
    </row>
    <row r="350" spans="1:24" s="4" customFormat="1" x14ac:dyDescent="0.25">
      <c r="A350" s="49"/>
      <c r="B350" s="219" t="s">
        <v>4</v>
      </c>
      <c r="C350" s="109"/>
      <c r="D350" s="172">
        <f t="shared" ref="D350:Q350" si="60">SUM(D344:D349)</f>
        <v>23.567</v>
      </c>
      <c r="E350" s="172">
        <f t="shared" si="60"/>
        <v>30.1</v>
      </c>
      <c r="F350" s="172">
        <f t="shared" si="60"/>
        <v>30.995000000000001</v>
      </c>
      <c r="G350" s="172">
        <f t="shared" si="60"/>
        <v>519.04000000000008</v>
      </c>
      <c r="H350" s="172">
        <f t="shared" si="60"/>
        <v>0.16800000000000001</v>
      </c>
      <c r="I350" s="172">
        <f t="shared" si="60"/>
        <v>0.97499999999999998</v>
      </c>
      <c r="J350" s="172">
        <f t="shared" si="60"/>
        <v>8.4999999999999992E-2</v>
      </c>
      <c r="K350" s="172">
        <f t="shared" si="60"/>
        <v>0.43</v>
      </c>
      <c r="L350" s="172">
        <f t="shared" si="60"/>
        <v>164.84</v>
      </c>
      <c r="M350" s="172">
        <f t="shared" si="60"/>
        <v>178.87</v>
      </c>
      <c r="N350" s="172">
        <f t="shared" si="60"/>
        <v>29.78</v>
      </c>
      <c r="O350" s="172">
        <f t="shared" si="60"/>
        <v>1.4100000000000001</v>
      </c>
      <c r="P350" s="170">
        <f t="shared" si="60"/>
        <v>0.25</v>
      </c>
      <c r="Q350" s="170">
        <f t="shared" si="60"/>
        <v>3.8</v>
      </c>
      <c r="R350" s="122"/>
      <c r="S350" s="122"/>
      <c r="T350" s="74"/>
      <c r="U350" s="74"/>
      <c r="V350" s="74"/>
      <c r="W350" s="74"/>
      <c r="X350" s="74"/>
    </row>
    <row r="351" spans="1:24" s="4" customFormat="1" ht="21.75" customHeight="1" x14ac:dyDescent="0.25">
      <c r="A351" s="300" t="s">
        <v>5</v>
      </c>
      <c r="B351" s="301"/>
      <c r="C351" s="301"/>
      <c r="D351" s="301"/>
      <c r="E351" s="301"/>
      <c r="F351" s="301"/>
      <c r="G351" s="301"/>
      <c r="H351" s="301"/>
      <c r="I351" s="301"/>
      <c r="J351" s="301"/>
      <c r="K351" s="301"/>
      <c r="L351" s="301"/>
      <c r="M351" s="301"/>
      <c r="N351" s="301"/>
      <c r="O351" s="301"/>
      <c r="P351" s="301"/>
      <c r="Q351" s="301"/>
      <c r="R351" s="301"/>
      <c r="S351" s="301"/>
      <c r="T351" s="74"/>
      <c r="U351" s="74"/>
      <c r="V351" s="74"/>
      <c r="W351" s="74"/>
      <c r="X351" s="74"/>
    </row>
    <row r="352" spans="1:24" s="63" customFormat="1" x14ac:dyDescent="0.2">
      <c r="A352" s="49">
        <v>1</v>
      </c>
      <c r="B352" s="47" t="s">
        <v>196</v>
      </c>
      <c r="C352" s="182">
        <v>60</v>
      </c>
      <c r="D352" s="42">
        <f>1.22*C352/100</f>
        <v>0.73199999999999998</v>
      </c>
      <c r="E352" s="42">
        <f>7.09*C352/100</f>
        <v>4.2539999999999996</v>
      </c>
      <c r="F352" s="42">
        <f>6.49*C352/100</f>
        <v>3.8940000000000001</v>
      </c>
      <c r="G352" s="42">
        <f>95.83*C352/100</f>
        <v>57.498000000000005</v>
      </c>
      <c r="H352" s="94">
        <f>0.07*C352/100</f>
        <v>4.2000000000000003E-2</v>
      </c>
      <c r="I352" s="94">
        <f>3.29*C352/100</f>
        <v>1.974</v>
      </c>
      <c r="J352" s="94">
        <f>0*C352/100</f>
        <v>0</v>
      </c>
      <c r="K352" s="94">
        <f>1.57*C352/100</f>
        <v>0.94200000000000006</v>
      </c>
      <c r="L352" s="124">
        <f>25.28*C352/100</f>
        <v>15.168000000000001</v>
      </c>
      <c r="M352" s="124">
        <f>51.84*C352/100</f>
        <v>31.103999999999999</v>
      </c>
      <c r="N352" s="124">
        <f>35.72*C352/100</f>
        <v>21.431999999999999</v>
      </c>
      <c r="O352" s="94">
        <f>0.66*C352/100</f>
        <v>0.39600000000000002</v>
      </c>
      <c r="P352" s="49">
        <f>0.07*C352/100</f>
        <v>4.2000000000000003E-2</v>
      </c>
      <c r="Q352" s="49">
        <v>0</v>
      </c>
      <c r="R352" s="67">
        <v>100301</v>
      </c>
      <c r="S352" s="67"/>
    </row>
    <row r="353" spans="1:19" s="63" customFormat="1" x14ac:dyDescent="0.2">
      <c r="A353" s="49">
        <v>2</v>
      </c>
      <c r="B353" s="47" t="s">
        <v>158</v>
      </c>
      <c r="C353" s="41">
        <v>250</v>
      </c>
      <c r="D353" s="42">
        <f>0.7*C353/100</f>
        <v>1.75</v>
      </c>
      <c r="E353" s="42">
        <f>2*C353/100</f>
        <v>5</v>
      </c>
      <c r="F353" s="42">
        <f>6.4*C353/100</f>
        <v>16</v>
      </c>
      <c r="G353" s="42">
        <f>46.4*C353/100</f>
        <v>116</v>
      </c>
      <c r="H353" s="94">
        <f>0.02*C353/100</f>
        <v>0.05</v>
      </c>
      <c r="I353" s="94">
        <f>4.58*C353/100</f>
        <v>11.45</v>
      </c>
      <c r="J353" s="94">
        <v>0</v>
      </c>
      <c r="K353" s="94">
        <f>1.08*C353/100</f>
        <v>2.7</v>
      </c>
      <c r="L353" s="124">
        <f>20.61*C353/100</f>
        <v>51.524999999999999</v>
      </c>
      <c r="M353" s="124">
        <f>30.3*C353/100</f>
        <v>75.75</v>
      </c>
      <c r="N353" s="124">
        <f>10.71*C353/100</f>
        <v>26.774999999999999</v>
      </c>
      <c r="O353" s="94">
        <f>0.35*C353/100</f>
        <v>0.875</v>
      </c>
      <c r="P353" s="49">
        <f>0.02*C353/100</f>
        <v>0.05</v>
      </c>
      <c r="Q353" s="49">
        <v>2.13</v>
      </c>
      <c r="R353" s="67">
        <v>110322</v>
      </c>
      <c r="S353" s="67">
        <v>110323</v>
      </c>
    </row>
    <row r="354" spans="1:19" s="63" customFormat="1" x14ac:dyDescent="0.2">
      <c r="A354" s="49">
        <v>3</v>
      </c>
      <c r="B354" s="47" t="s">
        <v>121</v>
      </c>
      <c r="C354" s="41">
        <v>100</v>
      </c>
      <c r="D354" s="42">
        <f>13.9*C354/100</f>
        <v>13.9</v>
      </c>
      <c r="E354" s="42">
        <f>7.4*C354/100</f>
        <v>7.4</v>
      </c>
      <c r="F354" s="42">
        <f>12.5*C354/100</f>
        <v>12.5</v>
      </c>
      <c r="G354" s="42">
        <f>172.2*C354/100</f>
        <v>172.2</v>
      </c>
      <c r="H354" s="42">
        <f>0.05*C354/100</f>
        <v>0.05</v>
      </c>
      <c r="I354" s="42">
        <f>2.59*C354/100</f>
        <v>2.59</v>
      </c>
      <c r="J354" s="42">
        <f>1.44*C354/100</f>
        <v>1.44</v>
      </c>
      <c r="K354" s="42">
        <f>1.27*C354/100</f>
        <v>1.27</v>
      </c>
      <c r="L354" s="48">
        <f>14.01*C354/100</f>
        <v>14.01</v>
      </c>
      <c r="M354" s="48">
        <f>129.66*C354/100</f>
        <v>129.66</v>
      </c>
      <c r="N354" s="48">
        <f>20.62*C354/100</f>
        <v>20.62</v>
      </c>
      <c r="O354" s="42">
        <f>1.75*C354/100</f>
        <v>1.75</v>
      </c>
      <c r="P354" s="49">
        <v>0.1</v>
      </c>
      <c r="Q354" s="49">
        <v>3.83</v>
      </c>
      <c r="R354" s="67">
        <v>120523</v>
      </c>
      <c r="S354" s="67">
        <v>120524</v>
      </c>
    </row>
    <row r="355" spans="1:19" s="63" customFormat="1" x14ac:dyDescent="0.2">
      <c r="A355" s="49">
        <v>4</v>
      </c>
      <c r="B355" s="47" t="s">
        <v>136</v>
      </c>
      <c r="C355" s="41">
        <v>150</v>
      </c>
      <c r="D355" s="42">
        <f>1.6*C355/100</f>
        <v>2.4</v>
      </c>
      <c r="E355" s="42">
        <f>3.1*C355/100</f>
        <v>4.6500000000000004</v>
      </c>
      <c r="F355" s="42">
        <f>10.1*C355/100</f>
        <v>15.15</v>
      </c>
      <c r="G355" s="42">
        <f>75*C355/100</f>
        <v>112.5</v>
      </c>
      <c r="H355" s="94">
        <f>0.05*C355/100</f>
        <v>7.4999999999999997E-2</v>
      </c>
      <c r="I355" s="94">
        <f>6.26*C355/100</f>
        <v>9.39</v>
      </c>
      <c r="J355" s="94">
        <f>0*C355/100</f>
        <v>0</v>
      </c>
      <c r="K355" s="94">
        <f>1.98*C355/100</f>
        <v>2.97</v>
      </c>
      <c r="L355" s="124">
        <f>21.42*C355/100</f>
        <v>32.130000000000003</v>
      </c>
      <c r="M355" s="124">
        <f>45.07*C355/100</f>
        <v>67.605000000000004</v>
      </c>
      <c r="N355" s="124">
        <f>19.28*C355/100</f>
        <v>28.92</v>
      </c>
      <c r="O355" s="94">
        <f>0.71*C355/100</f>
        <v>1.0649999999999999</v>
      </c>
      <c r="P355" s="49">
        <f>0.05*C355/100</f>
        <v>7.4999999999999997E-2</v>
      </c>
      <c r="Q355" s="49">
        <v>4.8899999999999997</v>
      </c>
      <c r="R355" s="67">
        <v>130203</v>
      </c>
      <c r="S355" s="67">
        <v>130204</v>
      </c>
    </row>
    <row r="356" spans="1:19" s="37" customFormat="1" ht="37.5" x14ac:dyDescent="0.2">
      <c r="A356" s="49">
        <v>5</v>
      </c>
      <c r="B356" s="47" t="s">
        <v>130</v>
      </c>
      <c r="C356" s="41">
        <v>200</v>
      </c>
      <c r="D356" s="42">
        <f>0.09*C356/100</f>
        <v>0.18</v>
      </c>
      <c r="E356" s="42">
        <f>0.04*C356/100</f>
        <v>0.08</v>
      </c>
      <c r="F356" s="42">
        <f>8.76*C356/100</f>
        <v>17.52</v>
      </c>
      <c r="G356" s="42">
        <f>26.45*C356/100</f>
        <v>52.9</v>
      </c>
      <c r="H356" s="42">
        <f>0.02*C356/100</f>
        <v>0.04</v>
      </c>
      <c r="I356" s="42">
        <f>52.8*C356/100</f>
        <v>105.6</v>
      </c>
      <c r="J356" s="42">
        <f>0*C356/100</f>
        <v>0</v>
      </c>
      <c r="K356" s="42">
        <v>0</v>
      </c>
      <c r="L356" s="48">
        <f>35.02*C356/100</f>
        <v>70.040000000000006</v>
      </c>
      <c r="M356" s="48">
        <v>0</v>
      </c>
      <c r="N356" s="48">
        <f>0.9*C356/100</f>
        <v>1.8</v>
      </c>
      <c r="O356" s="42">
        <f>1.07*C356/100</f>
        <v>2.14</v>
      </c>
      <c r="P356" s="62">
        <f>0.04*C356/100</f>
        <v>0.08</v>
      </c>
      <c r="Q356" s="62">
        <v>2.3199999999999998</v>
      </c>
      <c r="R356" s="67">
        <v>160205</v>
      </c>
      <c r="S356" s="67"/>
    </row>
    <row r="357" spans="1:19" s="63" customFormat="1" x14ac:dyDescent="0.2">
      <c r="A357" s="49">
        <v>6</v>
      </c>
      <c r="B357" s="47" t="s">
        <v>160</v>
      </c>
      <c r="C357" s="41">
        <v>40</v>
      </c>
      <c r="D357" s="42">
        <f>7.76*C357/100</f>
        <v>3.1039999999999996</v>
      </c>
      <c r="E357" s="42">
        <f>2.65*C357/100</f>
        <v>1.06</v>
      </c>
      <c r="F357" s="42">
        <f>53.25*C357/100</f>
        <v>21.3</v>
      </c>
      <c r="G357" s="42">
        <f>273*C357/100</f>
        <v>109.2</v>
      </c>
      <c r="H357" s="42">
        <f>0.34*C357/100</f>
        <v>0.13600000000000001</v>
      </c>
      <c r="I357" s="42">
        <f>0*C357/100</f>
        <v>0</v>
      </c>
      <c r="J357" s="42">
        <v>0</v>
      </c>
      <c r="K357" s="42">
        <f>1.5*C357/100</f>
        <v>0.6</v>
      </c>
      <c r="L357" s="48">
        <f>148.1*C357/100</f>
        <v>59.24</v>
      </c>
      <c r="M357" s="48">
        <f>0*C357/100</f>
        <v>0</v>
      </c>
      <c r="N357" s="48">
        <f>16*C357/100</f>
        <v>6.4</v>
      </c>
      <c r="O357" s="42">
        <f>2.4*C357/100</f>
        <v>0.96</v>
      </c>
      <c r="P357" s="56">
        <f>0.2*C357/100</f>
        <v>0.08</v>
      </c>
      <c r="Q357" s="56">
        <f>1.5*C357/100</f>
        <v>0.6</v>
      </c>
      <c r="R357" s="67">
        <v>200102</v>
      </c>
      <c r="S357" s="67"/>
    </row>
    <row r="358" spans="1:19" s="63" customFormat="1" x14ac:dyDescent="0.2">
      <c r="A358" s="49">
        <v>7</v>
      </c>
      <c r="B358" s="47" t="s">
        <v>159</v>
      </c>
      <c r="C358" s="41">
        <v>20</v>
      </c>
      <c r="D358" s="42">
        <f>5.86*C358/100</f>
        <v>1.1719999999999999</v>
      </c>
      <c r="E358" s="42">
        <f>0.94*C358/100</f>
        <v>0.18799999999999997</v>
      </c>
      <c r="F358" s="42">
        <f>44.4*C358/100</f>
        <v>8.8800000000000008</v>
      </c>
      <c r="G358" s="42">
        <f>189*C358/100</f>
        <v>37.799999999999997</v>
      </c>
      <c r="H358" s="42">
        <f>0.4*C358/100</f>
        <v>0.08</v>
      </c>
      <c r="I358" s="42">
        <f>0.03*C358/100</f>
        <v>6.0000000000000001E-3</v>
      </c>
      <c r="J358" s="42">
        <v>0</v>
      </c>
      <c r="K358" s="42">
        <f>1.7*C358/100</f>
        <v>0.34</v>
      </c>
      <c r="L358" s="48">
        <f>25.4*C358/100</f>
        <v>5.08</v>
      </c>
      <c r="M358" s="48">
        <f>105.53*C358/100</f>
        <v>21.105999999999998</v>
      </c>
      <c r="N358" s="48">
        <f>36.5*C358/100</f>
        <v>7.3</v>
      </c>
      <c r="O358" s="42">
        <f>2.45*C358/100</f>
        <v>0.49</v>
      </c>
      <c r="P358" s="56">
        <f>0.2*C358/100</f>
        <v>0.04</v>
      </c>
      <c r="Q358" s="56">
        <f>10*C358/100</f>
        <v>2</v>
      </c>
      <c r="R358" s="67">
        <v>200103</v>
      </c>
      <c r="S358" s="67"/>
    </row>
    <row r="359" spans="1:19" s="37" customFormat="1" ht="37.5" x14ac:dyDescent="0.2">
      <c r="A359" s="49">
        <v>8</v>
      </c>
      <c r="B359" s="47" t="s">
        <v>167</v>
      </c>
      <c r="C359" s="41">
        <v>20</v>
      </c>
      <c r="D359" s="42">
        <f>10.5*C359/100</f>
        <v>2.1</v>
      </c>
      <c r="E359" s="42">
        <f>19*C359/100</f>
        <v>3.8</v>
      </c>
      <c r="F359" s="42">
        <f>61*C359/100</f>
        <v>12.2</v>
      </c>
      <c r="G359" s="42">
        <f>457*C359/100</f>
        <v>91.4</v>
      </c>
      <c r="H359" s="42">
        <v>8.0000000000000002E-3</v>
      </c>
      <c r="I359" s="42">
        <v>0</v>
      </c>
      <c r="J359" s="42">
        <v>0</v>
      </c>
      <c r="K359" s="42">
        <v>0</v>
      </c>
      <c r="L359" s="48">
        <v>2</v>
      </c>
      <c r="M359" s="48">
        <v>6.6</v>
      </c>
      <c r="N359" s="48">
        <v>0.4</v>
      </c>
      <c r="O359" s="42">
        <v>0.12</v>
      </c>
      <c r="P359" s="49">
        <v>0.04</v>
      </c>
      <c r="Q359" s="49">
        <v>0</v>
      </c>
      <c r="R359" s="67"/>
      <c r="S359" s="67"/>
    </row>
    <row r="360" spans="1:19" s="4" customFormat="1" ht="39.75" customHeight="1" x14ac:dyDescent="0.25">
      <c r="A360" s="49"/>
      <c r="B360" s="218" t="s">
        <v>4</v>
      </c>
      <c r="C360" s="120"/>
      <c r="D360" s="170">
        <f t="shared" ref="D360:Q360" si="61">SUM(D352:D359)</f>
        <v>25.338000000000001</v>
      </c>
      <c r="E360" s="170">
        <f t="shared" si="61"/>
        <v>26.431999999999999</v>
      </c>
      <c r="F360" s="170">
        <f t="shared" si="61"/>
        <v>107.44399999999999</v>
      </c>
      <c r="G360" s="170">
        <f t="shared" si="61"/>
        <v>749.49799999999993</v>
      </c>
      <c r="H360" s="170">
        <f t="shared" si="61"/>
        <v>0.48100000000000004</v>
      </c>
      <c r="I360" s="170">
        <f t="shared" si="61"/>
        <v>131.01</v>
      </c>
      <c r="J360" s="170">
        <f t="shared" si="61"/>
        <v>1.44</v>
      </c>
      <c r="K360" s="170">
        <f t="shared" si="61"/>
        <v>8.822000000000001</v>
      </c>
      <c r="L360" s="170">
        <f t="shared" si="61"/>
        <v>249.19300000000001</v>
      </c>
      <c r="M360" s="170">
        <f t="shared" si="61"/>
        <v>331.82500000000005</v>
      </c>
      <c r="N360" s="170">
        <f t="shared" si="61"/>
        <v>113.64700000000001</v>
      </c>
      <c r="O360" s="170">
        <f t="shared" si="61"/>
        <v>7.7960000000000012</v>
      </c>
      <c r="P360" s="170">
        <f t="shared" si="61"/>
        <v>0.50700000000000001</v>
      </c>
      <c r="Q360" s="170">
        <f t="shared" si="61"/>
        <v>15.77</v>
      </c>
      <c r="R360" s="122"/>
      <c r="S360" s="122"/>
    </row>
    <row r="361" spans="1:19" s="4" customFormat="1" ht="18.75" customHeight="1" x14ac:dyDescent="0.25">
      <c r="A361" s="314" t="s">
        <v>35</v>
      </c>
      <c r="B361" s="315"/>
      <c r="C361" s="315"/>
      <c r="D361" s="315"/>
      <c r="E361" s="315"/>
      <c r="F361" s="315"/>
      <c r="G361" s="315"/>
      <c r="H361" s="315"/>
      <c r="I361" s="315"/>
      <c r="J361" s="315"/>
      <c r="K361" s="315"/>
      <c r="L361" s="315"/>
      <c r="M361" s="315"/>
      <c r="N361" s="315"/>
      <c r="O361" s="315"/>
      <c r="P361" s="315"/>
      <c r="Q361" s="315"/>
      <c r="R361" s="315"/>
      <c r="S361" s="343"/>
    </row>
    <row r="362" spans="1:19" s="63" customFormat="1" x14ac:dyDescent="0.2">
      <c r="A362" s="49">
        <v>1</v>
      </c>
      <c r="B362" s="47" t="s">
        <v>148</v>
      </c>
      <c r="C362" s="41">
        <v>50</v>
      </c>
      <c r="D362" s="94">
        <f>9.1*C362/100</f>
        <v>4.55</v>
      </c>
      <c r="E362" s="94">
        <f>3.9*C362/100</f>
        <v>1.95</v>
      </c>
      <c r="F362" s="94">
        <f>45*C362/100</f>
        <v>22.5</v>
      </c>
      <c r="G362" s="94">
        <f>255.1*C362/100</f>
        <v>127.55</v>
      </c>
      <c r="H362" s="42">
        <f>0.34*C362/100</f>
        <v>0.17</v>
      </c>
      <c r="I362" s="42">
        <f>0*C362/100</f>
        <v>0</v>
      </c>
      <c r="J362" s="42">
        <v>1</v>
      </c>
      <c r="K362" s="42">
        <f>1.5*C362/100</f>
        <v>0.75</v>
      </c>
      <c r="L362" s="48">
        <f>148.1*C362/100</f>
        <v>74.05</v>
      </c>
      <c r="M362" s="48">
        <f>0*C362/100</f>
        <v>0</v>
      </c>
      <c r="N362" s="48">
        <f>16*C362/100</f>
        <v>8</v>
      </c>
      <c r="O362" s="42">
        <f>2.4*C362/100</f>
        <v>1.2</v>
      </c>
      <c r="P362" s="56">
        <f>0.2*C362/100</f>
        <v>0.1</v>
      </c>
      <c r="Q362" s="56">
        <v>0</v>
      </c>
      <c r="R362" s="67"/>
      <c r="S362" s="67">
        <v>190216</v>
      </c>
    </row>
    <row r="363" spans="1:19" s="63" customFormat="1" x14ac:dyDescent="0.2">
      <c r="A363" s="49">
        <v>2</v>
      </c>
      <c r="B363" s="47" t="s">
        <v>122</v>
      </c>
      <c r="C363" s="41">
        <v>200</v>
      </c>
      <c r="D363" s="94">
        <f>2.25*C363/100</f>
        <v>4.5</v>
      </c>
      <c r="E363" s="94">
        <f>2.24*C363/100</f>
        <v>4.4800000000000004</v>
      </c>
      <c r="F363" s="94">
        <f>10.25*C363/100</f>
        <v>20.5</v>
      </c>
      <c r="G363" s="94">
        <f>70.23*C363/100</f>
        <v>140.46</v>
      </c>
      <c r="H363" s="42">
        <f>0.13*C363/100</f>
        <v>0.26</v>
      </c>
      <c r="I363" s="42">
        <f>7*C363/100</f>
        <v>14</v>
      </c>
      <c r="J363" s="42">
        <f>0*C363/100</f>
        <v>0</v>
      </c>
      <c r="K363" s="42">
        <v>0</v>
      </c>
      <c r="L363" s="48">
        <f>1.55*C363/100</f>
        <v>3.1</v>
      </c>
      <c r="M363" s="48">
        <v>0</v>
      </c>
      <c r="N363" s="48">
        <f>0.3*C363/100</f>
        <v>0.6</v>
      </c>
      <c r="O363" s="42">
        <f>0.02*C363/100</f>
        <v>0.04</v>
      </c>
      <c r="P363" s="49">
        <v>0</v>
      </c>
      <c r="Q363" s="49">
        <v>3.58</v>
      </c>
      <c r="R363" s="67">
        <v>160104</v>
      </c>
      <c r="S363" s="67"/>
    </row>
    <row r="364" spans="1:19" s="4" customFormat="1" ht="19.5" customHeight="1" x14ac:dyDescent="0.25">
      <c r="A364" s="49"/>
      <c r="B364" s="219" t="s">
        <v>4</v>
      </c>
      <c r="C364" s="109"/>
      <c r="D364" s="172">
        <f t="shared" ref="D364:Q364" si="62">SUM(D362:D363)</f>
        <v>9.0500000000000007</v>
      </c>
      <c r="E364" s="172">
        <f t="shared" si="62"/>
        <v>6.4300000000000006</v>
      </c>
      <c r="F364" s="172">
        <f t="shared" si="62"/>
        <v>43</v>
      </c>
      <c r="G364" s="172">
        <f t="shared" si="62"/>
        <v>268.01</v>
      </c>
      <c r="H364" s="172">
        <f t="shared" si="62"/>
        <v>0.43000000000000005</v>
      </c>
      <c r="I364" s="172">
        <f t="shared" si="62"/>
        <v>14</v>
      </c>
      <c r="J364" s="172">
        <f t="shared" si="62"/>
        <v>1</v>
      </c>
      <c r="K364" s="172">
        <f t="shared" si="62"/>
        <v>0.75</v>
      </c>
      <c r="L364" s="172">
        <f t="shared" si="62"/>
        <v>77.149999999999991</v>
      </c>
      <c r="M364" s="172">
        <f t="shared" si="62"/>
        <v>0</v>
      </c>
      <c r="N364" s="172">
        <f t="shared" si="62"/>
        <v>8.6</v>
      </c>
      <c r="O364" s="172">
        <f t="shared" si="62"/>
        <v>1.24</v>
      </c>
      <c r="P364" s="170">
        <f t="shared" si="62"/>
        <v>0.1</v>
      </c>
      <c r="Q364" s="170">
        <f t="shared" si="62"/>
        <v>3.58</v>
      </c>
      <c r="R364" s="122"/>
      <c r="S364" s="122"/>
    </row>
    <row r="365" spans="1:19" s="4" customFormat="1" x14ac:dyDescent="0.25">
      <c r="A365" s="49"/>
      <c r="B365" s="218" t="s">
        <v>7</v>
      </c>
      <c r="C365" s="41"/>
      <c r="D365" s="170">
        <f t="shared" ref="D365:Q365" si="63">D350+D360+D364</f>
        <v>57.954999999999998</v>
      </c>
      <c r="E365" s="170">
        <f t="shared" si="63"/>
        <v>62.961999999999996</v>
      </c>
      <c r="F365" s="170">
        <f t="shared" si="63"/>
        <v>181.43899999999999</v>
      </c>
      <c r="G365" s="170">
        <f t="shared" si="63"/>
        <v>1536.548</v>
      </c>
      <c r="H365" s="170">
        <f t="shared" si="63"/>
        <v>1.0790000000000002</v>
      </c>
      <c r="I365" s="170">
        <f t="shared" si="63"/>
        <v>145.98499999999999</v>
      </c>
      <c r="J365" s="170">
        <f t="shared" si="63"/>
        <v>2.5249999999999999</v>
      </c>
      <c r="K365" s="170">
        <f t="shared" si="63"/>
        <v>10.002000000000001</v>
      </c>
      <c r="L365" s="170">
        <f t="shared" si="63"/>
        <v>491.18299999999999</v>
      </c>
      <c r="M365" s="170">
        <f t="shared" si="63"/>
        <v>510.69500000000005</v>
      </c>
      <c r="N365" s="170">
        <f t="shared" si="63"/>
        <v>152.02700000000002</v>
      </c>
      <c r="O365" s="170">
        <f t="shared" si="63"/>
        <v>10.446000000000002</v>
      </c>
      <c r="P365" s="170">
        <f t="shared" si="63"/>
        <v>0.85699999999999998</v>
      </c>
      <c r="Q365" s="170">
        <f t="shared" si="63"/>
        <v>23.15</v>
      </c>
      <c r="R365" s="122"/>
      <c r="S365" s="122"/>
    </row>
    <row r="366" spans="1:19" s="4" customFormat="1" ht="19.5" customHeight="1" thickBot="1" x14ac:dyDescent="0.3">
      <c r="A366" s="344" t="s">
        <v>55</v>
      </c>
      <c r="B366" s="345"/>
      <c r="C366" s="345"/>
      <c r="D366" s="345"/>
      <c r="E366" s="345"/>
      <c r="F366" s="345"/>
      <c r="G366" s="345"/>
      <c r="H366" s="345"/>
      <c r="I366" s="345"/>
      <c r="J366" s="345"/>
      <c r="K366" s="345"/>
      <c r="L366" s="345"/>
      <c r="M366" s="345"/>
      <c r="N366" s="345"/>
      <c r="O366" s="345"/>
      <c r="P366" s="345"/>
      <c r="Q366" s="345"/>
      <c r="R366" s="345"/>
      <c r="S366" s="348"/>
    </row>
    <row r="367" spans="1:19" s="4" customFormat="1" x14ac:dyDescent="0.25">
      <c r="A367" s="300" t="s">
        <v>3</v>
      </c>
      <c r="B367" s="301"/>
      <c r="C367" s="301"/>
      <c r="D367" s="301"/>
      <c r="E367" s="301"/>
      <c r="F367" s="301"/>
      <c r="G367" s="301"/>
      <c r="H367" s="301"/>
      <c r="I367" s="301"/>
      <c r="J367" s="301"/>
      <c r="K367" s="301"/>
      <c r="L367" s="301"/>
      <c r="M367" s="301"/>
      <c r="N367" s="301"/>
      <c r="O367" s="301"/>
      <c r="P367" s="301"/>
      <c r="Q367" s="301"/>
      <c r="R367" s="301"/>
      <c r="S367" s="347"/>
    </row>
    <row r="368" spans="1:19" s="63" customFormat="1" x14ac:dyDescent="0.2">
      <c r="A368" s="49">
        <v>1</v>
      </c>
      <c r="B368" s="47" t="s">
        <v>265</v>
      </c>
      <c r="C368" s="41">
        <v>150</v>
      </c>
      <c r="D368" s="94">
        <f>3.2*C368/100</f>
        <v>4.8</v>
      </c>
      <c r="E368" s="94">
        <f>4.8*C368/100</f>
        <v>7.2</v>
      </c>
      <c r="F368" s="94">
        <f>15.6*C368/100</f>
        <v>23.4</v>
      </c>
      <c r="G368" s="94">
        <f>118.5*C368/100</f>
        <v>177.75</v>
      </c>
      <c r="H368" s="42">
        <f>0.19*C368/100</f>
        <v>0.28499999999999998</v>
      </c>
      <c r="I368" s="42">
        <f>13.15*C368/100</f>
        <v>19.725000000000001</v>
      </c>
      <c r="J368" s="42">
        <f>0.02*C368/100</f>
        <v>0.03</v>
      </c>
      <c r="K368" s="42">
        <f>0.06*C368/100</f>
        <v>0.09</v>
      </c>
      <c r="L368" s="48">
        <f>4.76*C368/100</f>
        <v>7.14</v>
      </c>
      <c r="M368" s="48">
        <f>38.66*C368/100</f>
        <v>57.989999999999988</v>
      </c>
      <c r="N368" s="48">
        <f>13.42*C368/100</f>
        <v>20.13</v>
      </c>
      <c r="O368" s="42">
        <f>0.39*C368/100</f>
        <v>0.58499999999999996</v>
      </c>
      <c r="P368" s="49">
        <f>0.01*C368/100</f>
        <v>1.4999999999999999E-2</v>
      </c>
      <c r="Q368" s="49">
        <v>4.46</v>
      </c>
      <c r="R368" s="233">
        <v>120211</v>
      </c>
      <c r="S368" s="233">
        <v>120212</v>
      </c>
    </row>
    <row r="369" spans="1:19" s="63" customFormat="1" x14ac:dyDescent="0.2">
      <c r="A369" s="49">
        <v>2</v>
      </c>
      <c r="B369" s="47" t="s">
        <v>163</v>
      </c>
      <c r="C369" s="41">
        <v>200</v>
      </c>
      <c r="D369" s="60">
        <f>3.05*C369/100</f>
        <v>6.1</v>
      </c>
      <c r="E369" s="60">
        <f>3.11*C369/100</f>
        <v>6.22</v>
      </c>
      <c r="F369" s="60">
        <f>9.83*C369/100</f>
        <v>19.66</v>
      </c>
      <c r="G369" s="60">
        <f>79.2*C369/100</f>
        <v>158.4</v>
      </c>
      <c r="H369" s="42">
        <f>0.26*C369/100</f>
        <v>0.52</v>
      </c>
      <c r="I369" s="42">
        <f>14.61*C369/100</f>
        <v>29.22</v>
      </c>
      <c r="J369" s="42">
        <f>0.4*C369/100</f>
        <v>0.8</v>
      </c>
      <c r="K369" s="42">
        <v>0</v>
      </c>
      <c r="L369" s="48">
        <f>24.96*C369/100</f>
        <v>49.92</v>
      </c>
      <c r="M369" s="48">
        <v>0</v>
      </c>
      <c r="N369" s="48">
        <f>0.1*C369/100</f>
        <v>0.2</v>
      </c>
      <c r="O369" s="42">
        <v>0</v>
      </c>
      <c r="P369" s="49">
        <v>0.14000000000000001</v>
      </c>
      <c r="Q369" s="49">
        <v>7.68</v>
      </c>
      <c r="R369" s="181">
        <v>160101</v>
      </c>
      <c r="S369" s="67">
        <v>160102</v>
      </c>
    </row>
    <row r="370" spans="1:19" s="63" customFormat="1" ht="31.5" x14ac:dyDescent="0.2">
      <c r="A370" s="49">
        <v>3</v>
      </c>
      <c r="B370" s="47" t="s">
        <v>223</v>
      </c>
      <c r="C370" s="41">
        <v>50</v>
      </c>
      <c r="D370" s="42">
        <f>12.6*C370/100</f>
        <v>6.3</v>
      </c>
      <c r="E370" s="42">
        <f>2.6*C370/100</f>
        <v>1.3</v>
      </c>
      <c r="F370" s="42">
        <f>45*C370/100</f>
        <v>22.5</v>
      </c>
      <c r="G370" s="42">
        <f>270.2*C370/100</f>
        <v>135.1</v>
      </c>
      <c r="H370" s="42">
        <f>0.11*C370/100</f>
        <v>5.5E-2</v>
      </c>
      <c r="I370" s="42">
        <f>2.92*C370/100</f>
        <v>1.46</v>
      </c>
      <c r="J370" s="42">
        <f>0.01*C370/100</f>
        <v>5.0000000000000001E-3</v>
      </c>
      <c r="K370" s="42">
        <f>1.72*C370/100</f>
        <v>0.86</v>
      </c>
      <c r="L370" s="48">
        <f>26*C370/100</f>
        <v>13</v>
      </c>
      <c r="M370" s="48">
        <f>50.29*C370/100</f>
        <v>25.145</v>
      </c>
      <c r="N370" s="48">
        <f>14.15*C370/100</f>
        <v>7.0750000000000002</v>
      </c>
      <c r="O370" s="42">
        <f>0.82*C370/100</f>
        <v>0.41</v>
      </c>
      <c r="P370" s="56">
        <f>0.05*C370/100</f>
        <v>2.5000000000000001E-2</v>
      </c>
      <c r="Q370" s="56">
        <v>2.1</v>
      </c>
      <c r="R370" s="183" t="s">
        <v>250</v>
      </c>
      <c r="S370" s="67">
        <v>190212</v>
      </c>
    </row>
    <row r="371" spans="1:19" s="64" customFormat="1" ht="18.75" customHeight="1" x14ac:dyDescent="0.3">
      <c r="A371" s="49">
        <v>4</v>
      </c>
      <c r="B371" s="47" t="s">
        <v>232</v>
      </c>
      <c r="C371" s="41" t="s">
        <v>274</v>
      </c>
      <c r="D371" s="42">
        <v>0.6</v>
      </c>
      <c r="E371" s="42">
        <v>0.45</v>
      </c>
      <c r="F371" s="42">
        <v>15.45</v>
      </c>
      <c r="G371" s="42">
        <v>70.5</v>
      </c>
      <c r="H371" s="42">
        <v>0.03</v>
      </c>
      <c r="I371" s="42">
        <v>7.5</v>
      </c>
      <c r="J371" s="42">
        <v>0</v>
      </c>
      <c r="K371" s="42">
        <v>0.6</v>
      </c>
      <c r="L371" s="42">
        <v>28.5</v>
      </c>
      <c r="M371" s="42">
        <v>24</v>
      </c>
      <c r="N371" s="42">
        <v>18</v>
      </c>
      <c r="O371" s="42">
        <v>3.0000000000000001E-3</v>
      </c>
      <c r="P371" s="55">
        <v>4.4999999999999998E-2</v>
      </c>
      <c r="Q371" s="55">
        <v>1.4</v>
      </c>
      <c r="R371" s="122">
        <v>210104</v>
      </c>
      <c r="S371" s="122"/>
    </row>
    <row r="372" spans="1:19" s="4" customFormat="1" x14ac:dyDescent="0.25">
      <c r="A372" s="49"/>
      <c r="B372" s="218" t="s">
        <v>4</v>
      </c>
      <c r="C372" s="120"/>
      <c r="D372" s="172">
        <f t="shared" ref="D372:Q372" si="64">SUM(D368:D371)</f>
        <v>17.8</v>
      </c>
      <c r="E372" s="172">
        <f t="shared" si="64"/>
        <v>15.17</v>
      </c>
      <c r="F372" s="172">
        <f t="shared" si="64"/>
        <v>81.010000000000005</v>
      </c>
      <c r="G372" s="172">
        <f t="shared" si="64"/>
        <v>541.75</v>
      </c>
      <c r="H372" s="172">
        <f t="shared" si="64"/>
        <v>0.89</v>
      </c>
      <c r="I372" s="172">
        <f t="shared" si="64"/>
        <v>57.905000000000001</v>
      </c>
      <c r="J372" s="172">
        <f t="shared" si="64"/>
        <v>0.83500000000000008</v>
      </c>
      <c r="K372" s="172">
        <f t="shared" si="64"/>
        <v>1.5499999999999998</v>
      </c>
      <c r="L372" s="172">
        <f t="shared" si="64"/>
        <v>98.56</v>
      </c>
      <c r="M372" s="172">
        <f t="shared" si="64"/>
        <v>107.13499999999999</v>
      </c>
      <c r="N372" s="172">
        <f t="shared" si="64"/>
        <v>45.405000000000001</v>
      </c>
      <c r="O372" s="172">
        <f t="shared" si="64"/>
        <v>0.99799999999999989</v>
      </c>
      <c r="P372" s="170">
        <f t="shared" si="64"/>
        <v>0.22500000000000003</v>
      </c>
      <c r="Q372" s="170">
        <f t="shared" si="64"/>
        <v>15.64</v>
      </c>
      <c r="R372" s="122"/>
      <c r="S372" s="122"/>
    </row>
    <row r="373" spans="1:19" s="4" customFormat="1" ht="18.75" customHeight="1" x14ac:dyDescent="0.25">
      <c r="A373" s="300" t="s">
        <v>5</v>
      </c>
      <c r="B373" s="301"/>
      <c r="C373" s="301"/>
      <c r="D373" s="301"/>
      <c r="E373" s="301"/>
      <c r="F373" s="301"/>
      <c r="G373" s="301"/>
      <c r="H373" s="301"/>
      <c r="I373" s="301"/>
      <c r="J373" s="301"/>
      <c r="K373" s="301"/>
      <c r="L373" s="301"/>
      <c r="M373" s="301"/>
      <c r="N373" s="301"/>
      <c r="O373" s="301"/>
      <c r="P373" s="301"/>
      <c r="Q373" s="301"/>
      <c r="R373" s="301"/>
      <c r="S373" s="347"/>
    </row>
    <row r="374" spans="1:19" s="64" customFormat="1" ht="37.5" x14ac:dyDescent="0.3">
      <c r="A374" s="49">
        <v>1</v>
      </c>
      <c r="B374" s="47" t="s">
        <v>137</v>
      </c>
      <c r="C374" s="41">
        <v>60</v>
      </c>
      <c r="D374" s="42">
        <f>1.77*C374/100</f>
        <v>1.0620000000000001</v>
      </c>
      <c r="E374" s="42">
        <f>5.2*C374/100</f>
        <v>3.12</v>
      </c>
      <c r="F374" s="42">
        <f>7.35*C374/100</f>
        <v>4.41</v>
      </c>
      <c r="G374" s="42">
        <f>86.98*C374/100</f>
        <v>52.188000000000002</v>
      </c>
      <c r="H374" s="42">
        <f>0.06*C374/100</f>
        <v>3.5999999999999997E-2</v>
      </c>
      <c r="I374" s="42">
        <f>9.15*C374/100</f>
        <v>5.49</v>
      </c>
      <c r="J374" s="42">
        <v>0</v>
      </c>
      <c r="K374" s="42">
        <f>0.08*C374/100</f>
        <v>4.8000000000000001E-2</v>
      </c>
      <c r="L374" s="42">
        <f>14.53*C374/100</f>
        <v>8.718</v>
      </c>
      <c r="M374" s="42">
        <f>38.56*C374/100</f>
        <v>23.136000000000003</v>
      </c>
      <c r="N374" s="42">
        <f>15.12*C374/100</f>
        <v>9.0719999999999992</v>
      </c>
      <c r="O374" s="42">
        <f>0.61*C374/100</f>
        <v>0.36599999999999999</v>
      </c>
      <c r="P374" s="55">
        <f>0.04*C374/100</f>
        <v>2.4E-2</v>
      </c>
      <c r="Q374" s="55">
        <v>2.76</v>
      </c>
      <c r="R374" s="177">
        <v>100510</v>
      </c>
      <c r="S374" s="122"/>
    </row>
    <row r="375" spans="1:19" s="63" customFormat="1" x14ac:dyDescent="0.2">
      <c r="A375" s="49">
        <v>2</v>
      </c>
      <c r="B375" s="47" t="s">
        <v>178</v>
      </c>
      <c r="C375" s="41">
        <v>250</v>
      </c>
      <c r="D375" s="42">
        <f>1.3*C375/100</f>
        <v>3.25</v>
      </c>
      <c r="E375" s="42">
        <f>1.5*C375/100</f>
        <v>3.75</v>
      </c>
      <c r="F375" s="42">
        <f>4.3*C375/100</f>
        <v>10.75</v>
      </c>
      <c r="G375" s="42">
        <f>35.9*C375/100</f>
        <v>89.75</v>
      </c>
      <c r="H375" s="42">
        <f>0.04*C375/100</f>
        <v>0.1</v>
      </c>
      <c r="I375" s="42">
        <f>4.86*C375/100</f>
        <v>12.15</v>
      </c>
      <c r="J375" s="42">
        <f>0.01*C375/100</f>
        <v>2.5000000000000001E-2</v>
      </c>
      <c r="K375" s="42">
        <f>0.19*C375/100</f>
        <v>0.47499999999999998</v>
      </c>
      <c r="L375" s="48">
        <f>19.8*C375/100</f>
        <v>49.5</v>
      </c>
      <c r="M375" s="48">
        <f>69.71*C375/100</f>
        <v>174.27500000000001</v>
      </c>
      <c r="N375" s="48">
        <f>15.1*C375/100</f>
        <v>37.75</v>
      </c>
      <c r="O375" s="42">
        <f>0.47*C375/100</f>
        <v>1.175</v>
      </c>
      <c r="P375" s="49">
        <f>0.05*C375/100</f>
        <v>0.125</v>
      </c>
      <c r="Q375" s="49">
        <v>39.43</v>
      </c>
      <c r="R375" s="67">
        <v>110316</v>
      </c>
      <c r="S375" s="67">
        <v>110317</v>
      </c>
    </row>
    <row r="376" spans="1:19" s="63" customFormat="1" x14ac:dyDescent="0.2">
      <c r="A376" s="49">
        <v>3</v>
      </c>
      <c r="B376" s="47" t="s">
        <v>151</v>
      </c>
      <c r="C376" s="41">
        <v>200</v>
      </c>
      <c r="D376" s="42">
        <f>8.2*C376/100</f>
        <v>16.399999999999999</v>
      </c>
      <c r="E376" s="42">
        <f>4.8*C376/100</f>
        <v>9.6</v>
      </c>
      <c r="F376" s="42">
        <f>23.5*C376/100</f>
        <v>47</v>
      </c>
      <c r="G376" s="42">
        <f>170*C376/100</f>
        <v>340</v>
      </c>
      <c r="H376" s="42">
        <f>0.19*C376/100</f>
        <v>0.38</v>
      </c>
      <c r="I376" s="42">
        <f>1.96*C376/100</f>
        <v>3.92</v>
      </c>
      <c r="J376" s="42">
        <f>1.6*C376/100</f>
        <v>3.2</v>
      </c>
      <c r="K376" s="42">
        <f>0.48*C376/100</f>
        <v>0.96</v>
      </c>
      <c r="L376" s="48">
        <f>31.71*C376/100</f>
        <v>63.42</v>
      </c>
      <c r="M376" s="48">
        <f>133.17*C376/100</f>
        <v>266.33999999999997</v>
      </c>
      <c r="N376" s="48">
        <f>42.57*C376/100</f>
        <v>85.14</v>
      </c>
      <c r="O376" s="42">
        <f>1.13*C376/100</f>
        <v>2.2599999999999998</v>
      </c>
      <c r="P376" s="49">
        <f>0.05*C376/100</f>
        <v>0.1</v>
      </c>
      <c r="Q376" s="49"/>
      <c r="R376" s="67">
        <v>120605</v>
      </c>
      <c r="S376" s="67">
        <v>120606</v>
      </c>
    </row>
    <row r="377" spans="1:19" s="37" customFormat="1" x14ac:dyDescent="0.2">
      <c r="A377" s="49">
        <v>4</v>
      </c>
      <c r="B377" s="47" t="s">
        <v>123</v>
      </c>
      <c r="C377" s="41">
        <v>200</v>
      </c>
      <c r="D377" s="42">
        <f>0.06*C377/100</f>
        <v>0.12</v>
      </c>
      <c r="E377" s="42">
        <f>0.02*C377/100</f>
        <v>0.04</v>
      </c>
      <c r="F377" s="42">
        <f>8.35*C377/100</f>
        <v>16.7</v>
      </c>
      <c r="G377" s="42">
        <f>25.02*C377/100</f>
        <v>50.04</v>
      </c>
      <c r="H377" s="42">
        <f>0*C377/100</f>
        <v>0</v>
      </c>
      <c r="I377" s="42">
        <f>1.65*C377/100</f>
        <v>3.3</v>
      </c>
      <c r="J377" s="42">
        <f>0*C377/100</f>
        <v>0</v>
      </c>
      <c r="K377" s="42">
        <v>0</v>
      </c>
      <c r="L377" s="48">
        <f>5.76*C377/100</f>
        <v>11.52</v>
      </c>
      <c r="M377" s="48">
        <f>1.21*C377/100</f>
        <v>2.42</v>
      </c>
      <c r="N377" s="48">
        <f>2.55*C377/100</f>
        <v>5.0999999999999996</v>
      </c>
      <c r="O377" s="42">
        <f>0.08*C377/100</f>
        <v>0.16</v>
      </c>
      <c r="P377" s="62">
        <v>0</v>
      </c>
      <c r="Q377" s="62">
        <v>0</v>
      </c>
      <c r="R377" s="67">
        <v>160206</v>
      </c>
      <c r="S377" s="67"/>
    </row>
    <row r="378" spans="1:19" s="63" customFormat="1" x14ac:dyDescent="0.2">
      <c r="A378" s="49">
        <v>5</v>
      </c>
      <c r="B378" s="47" t="s">
        <v>160</v>
      </c>
      <c r="C378" s="41">
        <v>40</v>
      </c>
      <c r="D378" s="42">
        <f>7.76*C378/100</f>
        <v>3.1039999999999996</v>
      </c>
      <c r="E378" s="42">
        <f>2.65*C378/100</f>
        <v>1.06</v>
      </c>
      <c r="F378" s="42">
        <f>53.25*C378/100</f>
        <v>21.3</v>
      </c>
      <c r="G378" s="42">
        <f>273*C378/100</f>
        <v>109.2</v>
      </c>
      <c r="H378" s="42">
        <f>0.34*C378/100</f>
        <v>0.13600000000000001</v>
      </c>
      <c r="I378" s="42">
        <f>0*C378/100</f>
        <v>0</v>
      </c>
      <c r="J378" s="42">
        <v>0</v>
      </c>
      <c r="K378" s="42">
        <f>1.5*C378/100</f>
        <v>0.6</v>
      </c>
      <c r="L378" s="48">
        <f>148.1*C378/100</f>
        <v>59.24</v>
      </c>
      <c r="M378" s="48">
        <f>0*C378/100</f>
        <v>0</v>
      </c>
      <c r="N378" s="48">
        <f>16*C378/100</f>
        <v>6.4</v>
      </c>
      <c r="O378" s="42">
        <f>2.4*C378/100</f>
        <v>0.96</v>
      </c>
      <c r="P378" s="56">
        <f>0.2*C378/100</f>
        <v>0.08</v>
      </c>
      <c r="Q378" s="56">
        <f>1.5*C378/100</f>
        <v>0.6</v>
      </c>
      <c r="R378" s="67">
        <v>200102</v>
      </c>
      <c r="S378" s="67"/>
    </row>
    <row r="379" spans="1:19" s="63" customFormat="1" x14ac:dyDescent="0.2">
      <c r="A379" s="49">
        <v>6</v>
      </c>
      <c r="B379" s="47" t="s">
        <v>159</v>
      </c>
      <c r="C379" s="41">
        <v>20</v>
      </c>
      <c r="D379" s="42">
        <f>5.86*C379/100</f>
        <v>1.1719999999999999</v>
      </c>
      <c r="E379" s="42">
        <f>0.94*C379/100</f>
        <v>0.18799999999999997</v>
      </c>
      <c r="F379" s="42">
        <f>44.4*C379/100</f>
        <v>8.8800000000000008</v>
      </c>
      <c r="G379" s="42">
        <f>189*C379/100</f>
        <v>37.799999999999997</v>
      </c>
      <c r="H379" s="42">
        <f>0.4*C379/100</f>
        <v>0.08</v>
      </c>
      <c r="I379" s="42">
        <f>0.03*C379/100</f>
        <v>6.0000000000000001E-3</v>
      </c>
      <c r="J379" s="42">
        <v>0</v>
      </c>
      <c r="K379" s="42">
        <f>1.7*C379/100</f>
        <v>0.34</v>
      </c>
      <c r="L379" s="48">
        <f>25.4*C379/100</f>
        <v>5.08</v>
      </c>
      <c r="M379" s="48">
        <f>105.53*C379/100</f>
        <v>21.105999999999998</v>
      </c>
      <c r="N379" s="48">
        <f>36.5*C379/100</f>
        <v>7.3</v>
      </c>
      <c r="O379" s="42">
        <f>2.45*C379/100</f>
        <v>0.49</v>
      </c>
      <c r="P379" s="56">
        <f>0.2*C379/100</f>
        <v>0.04</v>
      </c>
      <c r="Q379" s="56">
        <f>10*C379/100</f>
        <v>2</v>
      </c>
      <c r="R379" s="67">
        <v>200103</v>
      </c>
      <c r="S379" s="67"/>
    </row>
    <row r="380" spans="1:19" s="4" customFormat="1" ht="18.75" customHeight="1" x14ac:dyDescent="0.25">
      <c r="A380" s="49"/>
      <c r="B380" s="218" t="s">
        <v>4</v>
      </c>
      <c r="C380" s="120"/>
      <c r="D380" s="170">
        <f t="shared" ref="D380:Q380" si="65">SUM(D374:D379)</f>
        <v>25.108000000000001</v>
      </c>
      <c r="E380" s="170">
        <f t="shared" si="65"/>
        <v>17.757999999999996</v>
      </c>
      <c r="F380" s="170">
        <f t="shared" si="65"/>
        <v>109.03999999999999</v>
      </c>
      <c r="G380" s="170">
        <f t="shared" si="65"/>
        <v>678.97799999999995</v>
      </c>
      <c r="H380" s="170">
        <f t="shared" si="65"/>
        <v>0.73199999999999998</v>
      </c>
      <c r="I380" s="170">
        <f t="shared" si="65"/>
        <v>24.866000000000003</v>
      </c>
      <c r="J380" s="170">
        <f t="shared" si="65"/>
        <v>3.2250000000000001</v>
      </c>
      <c r="K380" s="170">
        <f t="shared" si="65"/>
        <v>2.423</v>
      </c>
      <c r="L380" s="170">
        <f t="shared" si="65"/>
        <v>197.47800000000004</v>
      </c>
      <c r="M380" s="170">
        <f t="shared" si="65"/>
        <v>487.27699999999999</v>
      </c>
      <c r="N380" s="170">
        <f t="shared" si="65"/>
        <v>150.762</v>
      </c>
      <c r="O380" s="170">
        <f t="shared" si="65"/>
        <v>5.4109999999999996</v>
      </c>
      <c r="P380" s="170">
        <f t="shared" si="65"/>
        <v>0.36899999999999999</v>
      </c>
      <c r="Q380" s="170">
        <f t="shared" si="65"/>
        <v>44.79</v>
      </c>
      <c r="R380" s="122"/>
      <c r="S380" s="122"/>
    </row>
    <row r="381" spans="1:19" s="4" customFormat="1" ht="18.75" customHeight="1" x14ac:dyDescent="0.25">
      <c r="A381" s="300" t="s">
        <v>35</v>
      </c>
      <c r="B381" s="301"/>
      <c r="C381" s="301"/>
      <c r="D381" s="301"/>
      <c r="E381" s="301"/>
      <c r="F381" s="301"/>
      <c r="G381" s="301"/>
      <c r="H381" s="301"/>
      <c r="I381" s="301"/>
      <c r="J381" s="301"/>
      <c r="K381" s="301"/>
      <c r="L381" s="301"/>
      <c r="M381" s="301"/>
      <c r="N381" s="301"/>
      <c r="O381" s="301"/>
      <c r="P381" s="301"/>
      <c r="Q381" s="301"/>
      <c r="R381" s="301"/>
      <c r="S381" s="347"/>
    </row>
    <row r="382" spans="1:19" s="37" customFormat="1" x14ac:dyDescent="0.2">
      <c r="A382" s="49">
        <v>1</v>
      </c>
      <c r="B382" s="47" t="s">
        <v>145</v>
      </c>
      <c r="C382" s="41">
        <v>200</v>
      </c>
      <c r="D382" s="94">
        <f>2.8*C382/100</f>
        <v>5.6</v>
      </c>
      <c r="E382" s="94">
        <f>2.9*C382/100</f>
        <v>5.8</v>
      </c>
      <c r="F382" s="94">
        <f>10.5*C382/100</f>
        <v>21</v>
      </c>
      <c r="G382" s="94">
        <f>79.3*C382/100</f>
        <v>158.6</v>
      </c>
      <c r="H382" s="42">
        <f>0.04*C382/100</f>
        <v>0.08</v>
      </c>
      <c r="I382" s="42">
        <f>0.6*C382/100</f>
        <v>1.2</v>
      </c>
      <c r="J382" s="42">
        <f>0.03*C382/100</f>
        <v>0.06</v>
      </c>
      <c r="K382" s="42">
        <f>0*C382/100</f>
        <v>0</v>
      </c>
      <c r="L382" s="48">
        <f>122*C382/100</f>
        <v>244</v>
      </c>
      <c r="M382" s="48">
        <f>96*C382/100</f>
        <v>192</v>
      </c>
      <c r="N382" s="48">
        <f>15*C382/100</f>
        <v>30</v>
      </c>
      <c r="O382" s="42">
        <f>0.09*C382/100</f>
        <v>0.18</v>
      </c>
      <c r="P382" s="49">
        <v>0.2</v>
      </c>
      <c r="Q382" s="49">
        <v>9</v>
      </c>
      <c r="R382" s="67"/>
      <c r="S382" s="67"/>
    </row>
    <row r="383" spans="1:19" s="63" customFormat="1" x14ac:dyDescent="0.2">
      <c r="A383" s="49">
        <v>2</v>
      </c>
      <c r="B383" s="47" t="s">
        <v>259</v>
      </c>
      <c r="C383" s="41">
        <v>50</v>
      </c>
      <c r="D383" s="94">
        <f>11.4*C383/100</f>
        <v>5.7</v>
      </c>
      <c r="E383" s="94">
        <f>6.2*C383/100</f>
        <v>3.1</v>
      </c>
      <c r="F383" s="94">
        <f>54.8*C383/100</f>
        <v>27.4</v>
      </c>
      <c r="G383" s="94">
        <f>321*C383/100</f>
        <v>160.5</v>
      </c>
      <c r="H383" s="42">
        <f>0.17*C383/100</f>
        <v>8.5000000000000006E-2</v>
      </c>
      <c r="I383" s="42">
        <f>3.2*C383/100</f>
        <v>1.6</v>
      </c>
      <c r="J383" s="42">
        <f>0.02*C383/100</f>
        <v>0.01</v>
      </c>
      <c r="K383" s="42">
        <f>1*C383/100</f>
        <v>0.5</v>
      </c>
      <c r="L383" s="48">
        <f>12.46*C383/100</f>
        <v>6.23</v>
      </c>
      <c r="M383" s="48">
        <f>55.81*C383/100</f>
        <v>27.905000000000001</v>
      </c>
      <c r="N383" s="48">
        <f>10.75*C383/100</f>
        <v>5.375</v>
      </c>
      <c r="O383" s="42">
        <f>0.82*C383/100</f>
        <v>0.41</v>
      </c>
      <c r="P383" s="49">
        <f>0.04*C383/100</f>
        <v>0.02</v>
      </c>
      <c r="Q383" s="49">
        <v>0.87</v>
      </c>
      <c r="R383" s="67">
        <v>190102</v>
      </c>
      <c r="S383" s="67">
        <v>190103</v>
      </c>
    </row>
    <row r="384" spans="1:19" s="4" customFormat="1" ht="18.75" customHeight="1" x14ac:dyDescent="0.25">
      <c r="A384" s="49"/>
      <c r="B384" s="218" t="s">
        <v>4</v>
      </c>
      <c r="C384" s="120"/>
      <c r="D384" s="172">
        <f t="shared" ref="D384:Q384" si="66">SUM(D382:D383)</f>
        <v>11.3</v>
      </c>
      <c r="E384" s="172">
        <f t="shared" si="66"/>
        <v>8.9</v>
      </c>
      <c r="F384" s="172">
        <f t="shared" si="66"/>
        <v>48.4</v>
      </c>
      <c r="G384" s="172">
        <f t="shared" si="66"/>
        <v>319.10000000000002</v>
      </c>
      <c r="H384" s="172">
        <f t="shared" si="66"/>
        <v>0.16500000000000001</v>
      </c>
      <c r="I384" s="172">
        <f t="shared" si="66"/>
        <v>2.8</v>
      </c>
      <c r="J384" s="172">
        <f t="shared" si="66"/>
        <v>6.9999999999999993E-2</v>
      </c>
      <c r="K384" s="172">
        <f t="shared" si="66"/>
        <v>0.5</v>
      </c>
      <c r="L384" s="172">
        <f t="shared" si="66"/>
        <v>250.23</v>
      </c>
      <c r="M384" s="172">
        <f t="shared" si="66"/>
        <v>219.905</v>
      </c>
      <c r="N384" s="172">
        <f t="shared" si="66"/>
        <v>35.375</v>
      </c>
      <c r="O384" s="172">
        <f t="shared" si="66"/>
        <v>0.59</v>
      </c>
      <c r="P384" s="170">
        <f t="shared" si="66"/>
        <v>0.22</v>
      </c>
      <c r="Q384" s="170">
        <f t="shared" si="66"/>
        <v>9.8699999999999992</v>
      </c>
      <c r="R384" s="122"/>
      <c r="S384" s="122"/>
    </row>
    <row r="385" spans="1:19" s="4" customFormat="1" x14ac:dyDescent="0.25">
      <c r="A385" s="49"/>
      <c r="B385" s="218" t="s">
        <v>7</v>
      </c>
      <c r="C385" s="120"/>
      <c r="D385" s="170">
        <f t="shared" ref="D385:Q385" si="67">D372+D380+D384</f>
        <v>54.207999999999998</v>
      </c>
      <c r="E385" s="170">
        <f t="shared" si="67"/>
        <v>41.827999999999996</v>
      </c>
      <c r="F385" s="170">
        <f t="shared" si="67"/>
        <v>238.45000000000002</v>
      </c>
      <c r="G385" s="170">
        <f t="shared" si="67"/>
        <v>1539.828</v>
      </c>
      <c r="H385" s="170">
        <f t="shared" si="67"/>
        <v>1.7869999999999999</v>
      </c>
      <c r="I385" s="170">
        <f t="shared" si="67"/>
        <v>85.570999999999998</v>
      </c>
      <c r="J385" s="170">
        <f t="shared" si="67"/>
        <v>4.1300000000000008</v>
      </c>
      <c r="K385" s="170">
        <f t="shared" si="67"/>
        <v>4.4729999999999999</v>
      </c>
      <c r="L385" s="170">
        <f t="shared" si="67"/>
        <v>546.26800000000003</v>
      </c>
      <c r="M385" s="170">
        <f t="shared" si="67"/>
        <v>814.31700000000001</v>
      </c>
      <c r="N385" s="170">
        <f t="shared" si="67"/>
        <v>231.542</v>
      </c>
      <c r="O385" s="170">
        <f t="shared" si="67"/>
        <v>6.9989999999999997</v>
      </c>
      <c r="P385" s="170">
        <f t="shared" si="67"/>
        <v>0.81400000000000006</v>
      </c>
      <c r="Q385" s="170">
        <f t="shared" si="67"/>
        <v>70.3</v>
      </c>
      <c r="R385" s="122"/>
      <c r="S385" s="122"/>
    </row>
    <row r="386" spans="1:19" s="4" customFormat="1" ht="19.5" customHeight="1" thickBot="1" x14ac:dyDescent="0.3">
      <c r="A386" s="344" t="s">
        <v>56</v>
      </c>
      <c r="B386" s="345"/>
      <c r="C386" s="345"/>
      <c r="D386" s="345"/>
      <c r="E386" s="345"/>
      <c r="F386" s="345"/>
      <c r="G386" s="345"/>
      <c r="H386" s="345"/>
      <c r="I386" s="345"/>
      <c r="J386" s="345"/>
      <c r="K386" s="345"/>
      <c r="L386" s="345"/>
      <c r="M386" s="345"/>
      <c r="N386" s="345"/>
      <c r="O386" s="345"/>
      <c r="P386" s="345"/>
      <c r="Q386" s="345"/>
      <c r="R386" s="345"/>
      <c r="S386" s="348"/>
    </row>
    <row r="387" spans="1:19" s="4" customFormat="1" x14ac:dyDescent="0.25">
      <c r="A387" s="304" t="s">
        <v>3</v>
      </c>
      <c r="B387" s="305"/>
      <c r="C387" s="305"/>
      <c r="D387" s="305"/>
      <c r="E387" s="305"/>
      <c r="F387" s="305"/>
      <c r="G387" s="305"/>
      <c r="H387" s="305"/>
      <c r="I387" s="305"/>
      <c r="J387" s="305"/>
      <c r="K387" s="305"/>
      <c r="L387" s="305"/>
      <c r="M387" s="305"/>
      <c r="N387" s="305"/>
      <c r="O387" s="305"/>
      <c r="P387" s="305"/>
      <c r="Q387" s="305"/>
      <c r="R387" s="305"/>
      <c r="S387" s="346"/>
    </row>
    <row r="388" spans="1:19" s="63" customFormat="1" x14ac:dyDescent="0.2">
      <c r="A388" s="49">
        <v>1</v>
      </c>
      <c r="B388" s="47" t="s">
        <v>266</v>
      </c>
      <c r="C388" s="41">
        <v>150</v>
      </c>
      <c r="D388" s="176">
        <f>3.8*C388/100</f>
        <v>5.7</v>
      </c>
      <c r="E388" s="176">
        <f>4*C388/100</f>
        <v>6</v>
      </c>
      <c r="F388" s="176">
        <f>22.86*C388/100</f>
        <v>34.29</v>
      </c>
      <c r="G388" s="176">
        <f>142.8*C388/100</f>
        <v>214.2</v>
      </c>
      <c r="H388" s="42">
        <f>0.07*C388/100</f>
        <v>0.10500000000000002</v>
      </c>
      <c r="I388" s="42">
        <f>14.25*C388/100</f>
        <v>21.375</v>
      </c>
      <c r="J388" s="42">
        <f>0.03*C388/100</f>
        <v>4.4999999999999998E-2</v>
      </c>
      <c r="K388" s="42">
        <f>0.08*C388/100</f>
        <v>0.12</v>
      </c>
      <c r="L388" s="48">
        <f>10.5*C388/100</f>
        <v>15.75</v>
      </c>
      <c r="M388" s="48">
        <f>55.1*C388/100</f>
        <v>82.65</v>
      </c>
      <c r="N388" s="48">
        <f>20.27*C388/100</f>
        <v>30.405000000000001</v>
      </c>
      <c r="O388" s="42">
        <f>0.64*C388/100</f>
        <v>0.96</v>
      </c>
      <c r="P388" s="49">
        <f>0.01*C388/100</f>
        <v>1.4999999999999999E-2</v>
      </c>
      <c r="Q388" s="49">
        <f>3.3*C388/100</f>
        <v>4.95</v>
      </c>
      <c r="R388" s="233">
        <v>120218</v>
      </c>
      <c r="S388" s="233">
        <v>120219</v>
      </c>
    </row>
    <row r="389" spans="1:19" s="63" customFormat="1" x14ac:dyDescent="0.2">
      <c r="A389" s="49">
        <v>2</v>
      </c>
      <c r="B389" s="47" t="s">
        <v>31</v>
      </c>
      <c r="C389" s="59">
        <v>200</v>
      </c>
      <c r="D389" s="60">
        <v>0</v>
      </c>
      <c r="E389" s="60">
        <v>0</v>
      </c>
      <c r="F389" s="60">
        <f>4.99*C389/100</f>
        <v>9.98</v>
      </c>
      <c r="G389" s="42">
        <f>19.95*C389/100</f>
        <v>39.9</v>
      </c>
      <c r="H389" s="42">
        <v>0</v>
      </c>
      <c r="I389" s="42">
        <v>0</v>
      </c>
      <c r="J389" s="42">
        <v>0</v>
      </c>
      <c r="K389" s="42">
        <v>0</v>
      </c>
      <c r="L389" s="48">
        <f>8.15*C389/100</f>
        <v>16.3</v>
      </c>
      <c r="M389" s="48">
        <f>0.02*C389/100</f>
        <v>0.04</v>
      </c>
      <c r="N389" s="48">
        <f>1.79*C389/100</f>
        <v>3.58</v>
      </c>
      <c r="O389" s="42">
        <f>0.02*C389/100</f>
        <v>0.04</v>
      </c>
      <c r="P389" s="49">
        <f>0.01*C389/100</f>
        <v>0.02</v>
      </c>
      <c r="Q389" s="49">
        <v>0.48</v>
      </c>
      <c r="R389" s="67">
        <v>160105</v>
      </c>
      <c r="S389" s="67"/>
    </row>
    <row r="390" spans="1:19" s="63" customFormat="1" x14ac:dyDescent="0.2">
      <c r="A390" s="49">
        <v>3</v>
      </c>
      <c r="B390" s="47" t="s">
        <v>160</v>
      </c>
      <c r="C390" s="41">
        <v>20</v>
      </c>
      <c r="D390" s="42">
        <f>7.76*C390/100</f>
        <v>1.5519999999999998</v>
      </c>
      <c r="E390" s="42">
        <f>2.65*C390/100</f>
        <v>0.53</v>
      </c>
      <c r="F390" s="42">
        <f>53.25*C390/100</f>
        <v>10.65</v>
      </c>
      <c r="G390" s="42">
        <f>273*C390/100</f>
        <v>54.6</v>
      </c>
      <c r="H390" s="42">
        <f>0.34*C390/100</f>
        <v>6.8000000000000005E-2</v>
      </c>
      <c r="I390" s="42">
        <f>0*C390/100</f>
        <v>0</v>
      </c>
      <c r="J390" s="42">
        <v>0</v>
      </c>
      <c r="K390" s="42">
        <f>1.5*C390/100</f>
        <v>0.3</v>
      </c>
      <c r="L390" s="48">
        <f>148.1*C390/100</f>
        <v>29.62</v>
      </c>
      <c r="M390" s="48">
        <f>0*C390/100</f>
        <v>0</v>
      </c>
      <c r="N390" s="48">
        <f>16*C390/100</f>
        <v>3.2</v>
      </c>
      <c r="O390" s="42">
        <f>2.4*C390/100</f>
        <v>0.48</v>
      </c>
      <c r="P390" s="56">
        <f>0.2*C390/100</f>
        <v>0.04</v>
      </c>
      <c r="Q390" s="56">
        <f>1.5*C390/100</f>
        <v>0.3</v>
      </c>
      <c r="R390" s="67">
        <v>200102</v>
      </c>
      <c r="S390" s="67"/>
    </row>
    <row r="391" spans="1:19" s="63" customFormat="1" ht="37.5" x14ac:dyDescent="0.2">
      <c r="A391" s="49">
        <v>4</v>
      </c>
      <c r="B391" s="47" t="s">
        <v>164</v>
      </c>
      <c r="C391" s="41">
        <v>10</v>
      </c>
      <c r="D391" s="42">
        <f>0.5*C391/100</f>
        <v>0.05</v>
      </c>
      <c r="E391" s="42">
        <f>82.5*C391/100</f>
        <v>8.25</v>
      </c>
      <c r="F391" s="42">
        <f>0.8*C391/100</f>
        <v>0.08</v>
      </c>
      <c r="G391" s="42">
        <f>748*C391/100</f>
        <v>74.8</v>
      </c>
      <c r="H391" s="42">
        <v>0</v>
      </c>
      <c r="I391" s="42">
        <v>0</v>
      </c>
      <c r="J391" s="42">
        <f>0.4*C391/100</f>
        <v>0.04</v>
      </c>
      <c r="K391" s="42">
        <f>1*C391/100</f>
        <v>0.1</v>
      </c>
      <c r="L391" s="48">
        <f>12*C391/100</f>
        <v>1.2</v>
      </c>
      <c r="M391" s="48">
        <f>19*C391/100</f>
        <v>1.9</v>
      </c>
      <c r="N391" s="48">
        <f>0*C391/100</f>
        <v>0</v>
      </c>
      <c r="O391" s="42">
        <f>0.2*C391/100</f>
        <v>0.02</v>
      </c>
      <c r="P391" s="56">
        <f>0.1*C391/100</f>
        <v>0.01</v>
      </c>
      <c r="Q391" s="49">
        <v>0</v>
      </c>
      <c r="R391" s="67"/>
      <c r="S391" s="67"/>
    </row>
    <row r="392" spans="1:19" s="63" customFormat="1" x14ac:dyDescent="0.2">
      <c r="A392" s="49">
        <v>5</v>
      </c>
      <c r="B392" s="47" t="s">
        <v>271</v>
      </c>
      <c r="C392" s="41">
        <v>150</v>
      </c>
      <c r="D392" s="94">
        <f>1.2*C392/100</f>
        <v>1.8</v>
      </c>
      <c r="E392" s="94">
        <v>0</v>
      </c>
      <c r="F392" s="94">
        <f>30.18*C392/100</f>
        <v>45.27</v>
      </c>
      <c r="G392" s="94">
        <f>125.5*C392/100</f>
        <v>188.25</v>
      </c>
      <c r="H392" s="42">
        <v>0</v>
      </c>
      <c r="I392" s="42">
        <f>0.8*C392/100</f>
        <v>1.2</v>
      </c>
      <c r="J392" s="42">
        <v>0</v>
      </c>
      <c r="K392" s="42">
        <v>0</v>
      </c>
      <c r="L392" s="48">
        <f>28.96*C392/100</f>
        <v>43.44</v>
      </c>
      <c r="M392" s="48">
        <f>9.26*C392/100</f>
        <v>13.89</v>
      </c>
      <c r="N392" s="48">
        <f>3.51*C392/100</f>
        <v>5.2649999999999997</v>
      </c>
      <c r="O392" s="42">
        <f>0.1*C392/100</f>
        <v>0.15</v>
      </c>
      <c r="P392" s="56">
        <v>0</v>
      </c>
      <c r="Q392" s="56">
        <v>0</v>
      </c>
      <c r="R392" s="233">
        <v>220105</v>
      </c>
      <c r="S392" s="233">
        <v>220106</v>
      </c>
    </row>
    <row r="393" spans="1:19" s="4" customFormat="1" ht="19.5" customHeight="1" x14ac:dyDescent="0.25">
      <c r="A393" s="49"/>
      <c r="B393" s="218" t="s">
        <v>4</v>
      </c>
      <c r="C393" s="120"/>
      <c r="D393" s="172">
        <f t="shared" ref="D393:Q393" si="68">SUM(D388:D392)</f>
        <v>9.1020000000000003</v>
      </c>
      <c r="E393" s="172">
        <f t="shared" si="68"/>
        <v>14.780000000000001</v>
      </c>
      <c r="F393" s="172">
        <f t="shared" si="68"/>
        <v>100.27</v>
      </c>
      <c r="G393" s="172">
        <f t="shared" si="68"/>
        <v>571.75</v>
      </c>
      <c r="H393" s="172">
        <f t="shared" si="68"/>
        <v>0.17300000000000004</v>
      </c>
      <c r="I393" s="172">
        <f t="shared" si="68"/>
        <v>22.574999999999999</v>
      </c>
      <c r="J393" s="172">
        <f t="shared" si="68"/>
        <v>8.4999999999999992E-2</v>
      </c>
      <c r="K393" s="172">
        <f t="shared" si="68"/>
        <v>0.52</v>
      </c>
      <c r="L393" s="172">
        <f t="shared" si="68"/>
        <v>106.31</v>
      </c>
      <c r="M393" s="172">
        <f t="shared" si="68"/>
        <v>98.480000000000018</v>
      </c>
      <c r="N393" s="172">
        <f t="shared" si="68"/>
        <v>42.45</v>
      </c>
      <c r="O393" s="172">
        <f t="shared" si="68"/>
        <v>1.65</v>
      </c>
      <c r="P393" s="170">
        <f t="shared" si="68"/>
        <v>8.5000000000000006E-2</v>
      </c>
      <c r="Q393" s="170">
        <f t="shared" si="68"/>
        <v>5.7299999999999995</v>
      </c>
      <c r="R393" s="122"/>
      <c r="S393" s="122"/>
    </row>
    <row r="394" spans="1:19" s="4" customFormat="1" x14ac:dyDescent="0.25">
      <c r="A394" s="300" t="s">
        <v>5</v>
      </c>
      <c r="B394" s="301"/>
      <c r="C394" s="301"/>
      <c r="D394" s="301"/>
      <c r="E394" s="301"/>
      <c r="F394" s="301"/>
      <c r="G394" s="301"/>
      <c r="H394" s="301"/>
      <c r="I394" s="301"/>
      <c r="J394" s="301"/>
      <c r="K394" s="301"/>
      <c r="L394" s="301"/>
      <c r="M394" s="301"/>
      <c r="N394" s="301"/>
      <c r="O394" s="301"/>
      <c r="P394" s="301"/>
      <c r="Q394" s="301"/>
      <c r="R394" s="301"/>
      <c r="S394" s="347"/>
    </row>
    <row r="395" spans="1:19" s="63" customFormat="1" ht="37.5" x14ac:dyDescent="0.2">
      <c r="A395" s="49">
        <v>1</v>
      </c>
      <c r="B395" s="47" t="s">
        <v>207</v>
      </c>
      <c r="C395" s="182">
        <v>60</v>
      </c>
      <c r="D395" s="42">
        <f>1.9*C395/100</f>
        <v>1.1399999999999999</v>
      </c>
      <c r="E395" s="42">
        <f>7.69*C395/100</f>
        <v>4.6140000000000008</v>
      </c>
      <c r="F395" s="42">
        <f>3.84*C395/100</f>
        <v>2.3039999999999998</v>
      </c>
      <c r="G395" s="42">
        <f>93.48*C395/100</f>
        <v>56.088000000000001</v>
      </c>
      <c r="H395" s="94">
        <f>0.06*C395/100</f>
        <v>3.5999999999999997E-2</v>
      </c>
      <c r="I395" s="94">
        <f>27.25*C395/100</f>
        <v>16.350000000000001</v>
      </c>
      <c r="J395" s="94">
        <v>0</v>
      </c>
      <c r="K395" s="94">
        <f>0.06*C395/100</f>
        <v>3.5999999999999997E-2</v>
      </c>
      <c r="L395" s="124">
        <f>27.09*C395/100</f>
        <v>16.254000000000001</v>
      </c>
      <c r="M395" s="124">
        <f>33.23*C395/100</f>
        <v>19.937999999999999</v>
      </c>
      <c r="N395" s="124">
        <f>16.89*C395/100</f>
        <v>10.134</v>
      </c>
      <c r="O395" s="94">
        <f>1.04*C395/100</f>
        <v>0.62400000000000011</v>
      </c>
      <c r="P395" s="49">
        <f>0.08*C395/100</f>
        <v>4.8000000000000001E-2</v>
      </c>
      <c r="Q395" s="49">
        <v>1.1299999999999999</v>
      </c>
      <c r="R395" s="67">
        <v>100509</v>
      </c>
      <c r="S395" s="67"/>
    </row>
    <row r="396" spans="1:19" s="63" customFormat="1" x14ac:dyDescent="0.2">
      <c r="A396" s="49">
        <v>2</v>
      </c>
      <c r="B396" s="47" t="s">
        <v>177</v>
      </c>
      <c r="C396" s="41">
        <v>250</v>
      </c>
      <c r="D396" s="42">
        <f>4.7*C396/100</f>
        <v>11.75</v>
      </c>
      <c r="E396" s="42">
        <f>2*C396/100</f>
        <v>5</v>
      </c>
      <c r="F396" s="42">
        <f>1.5*C396/100</f>
        <v>3.75</v>
      </c>
      <c r="G396" s="42">
        <f>42.8*C396/100</f>
        <v>107</v>
      </c>
      <c r="H396" s="42">
        <f>0*C396/100</f>
        <v>0</v>
      </c>
      <c r="I396" s="42">
        <f>1.5*C396/100</f>
        <v>3.75</v>
      </c>
      <c r="J396" s="42">
        <f>0*C396/100</f>
        <v>0</v>
      </c>
      <c r="K396" s="42">
        <f>0*C396/100</f>
        <v>0</v>
      </c>
      <c r="L396" s="48">
        <f>1.5*C396/100</f>
        <v>3.75</v>
      </c>
      <c r="M396" s="48">
        <f>20.3*C396/100</f>
        <v>50.75</v>
      </c>
      <c r="N396" s="48">
        <f>2.5*C396/100</f>
        <v>6.25</v>
      </c>
      <c r="O396" s="42">
        <f>0.6*C396/100</f>
        <v>1.5</v>
      </c>
      <c r="P396" s="49">
        <f>0.01*C396/100</f>
        <v>2.5000000000000001E-2</v>
      </c>
      <c r="Q396" s="49">
        <v>39.43</v>
      </c>
      <c r="R396" s="67">
        <v>110501</v>
      </c>
      <c r="S396" s="67">
        <v>110502</v>
      </c>
    </row>
    <row r="397" spans="1:19" s="63" customFormat="1" x14ac:dyDescent="0.2">
      <c r="A397" s="49">
        <v>3</v>
      </c>
      <c r="B397" s="47" t="s">
        <v>170</v>
      </c>
      <c r="C397" s="41">
        <v>20</v>
      </c>
      <c r="D397" s="42">
        <f>12.7*C397/100</f>
        <v>2.54</v>
      </c>
      <c r="E397" s="42">
        <f>11.5*C397/100</f>
        <v>2.2999999999999998</v>
      </c>
      <c r="F397" s="42">
        <f>0.7*C397/100</f>
        <v>0.14000000000000001</v>
      </c>
      <c r="G397" s="42">
        <f>157*C397/100</f>
        <v>31.4</v>
      </c>
      <c r="H397" s="42">
        <f>0.07*C397/100</f>
        <v>1.4000000000000002E-2</v>
      </c>
      <c r="I397" s="42">
        <f>0*C397/100</f>
        <v>0</v>
      </c>
      <c r="J397" s="42">
        <f>0.25*C397/100</f>
        <v>0.05</v>
      </c>
      <c r="K397" s="42">
        <f>0*C397/100</f>
        <v>0</v>
      </c>
      <c r="L397" s="48">
        <f>55*C397/100</f>
        <v>11</v>
      </c>
      <c r="M397" s="48">
        <f>0.2*C397/100</f>
        <v>0.04</v>
      </c>
      <c r="N397" s="48">
        <f>12.06*C397/100</f>
        <v>2.4120000000000004</v>
      </c>
      <c r="O397" s="42">
        <f>2.5*C397/100</f>
        <v>0.5</v>
      </c>
      <c r="P397" s="49">
        <f>0.44*C397/100</f>
        <v>8.8000000000000009E-2</v>
      </c>
      <c r="Q397" s="49">
        <f>20*C397/100</f>
        <v>4</v>
      </c>
      <c r="R397" s="67">
        <v>120304</v>
      </c>
      <c r="S397" s="67"/>
    </row>
    <row r="398" spans="1:19" s="52" customFormat="1" x14ac:dyDescent="0.2">
      <c r="A398" s="49">
        <v>4</v>
      </c>
      <c r="B398" s="47" t="s">
        <v>182</v>
      </c>
      <c r="C398" s="41">
        <v>100</v>
      </c>
      <c r="D398" s="42">
        <f>11.4*C398/100</f>
        <v>11.4</v>
      </c>
      <c r="E398" s="42">
        <f>6.2*C398/100</f>
        <v>6.2</v>
      </c>
      <c r="F398" s="42">
        <f>5.9*C398/100</f>
        <v>5.9</v>
      </c>
      <c r="G398" s="42">
        <f>125*C398/100</f>
        <v>125</v>
      </c>
      <c r="H398" s="42">
        <f>0.09*C398/100</f>
        <v>0.09</v>
      </c>
      <c r="I398" s="42">
        <f>1.08*C398/100</f>
        <v>1.08</v>
      </c>
      <c r="J398" s="42">
        <f>0.02*C398/100</f>
        <v>0.02</v>
      </c>
      <c r="K398" s="42">
        <f>0.1*C398/100</f>
        <v>0.1</v>
      </c>
      <c r="L398" s="48">
        <f>31.18*C398/100</f>
        <v>31.18</v>
      </c>
      <c r="M398" s="48">
        <f>186.03*C398/100</f>
        <v>186.03</v>
      </c>
      <c r="N398" s="48">
        <f>37.33*C398/100</f>
        <v>37.33</v>
      </c>
      <c r="O398" s="42">
        <f>2.48*C398/100</f>
        <v>2.48</v>
      </c>
      <c r="P398" s="49">
        <f>0.19*C398/100</f>
        <v>0.19</v>
      </c>
      <c r="Q398" s="49">
        <f>1.23*C398/100</f>
        <v>1.23</v>
      </c>
      <c r="R398" s="67">
        <v>120513</v>
      </c>
      <c r="S398" s="67">
        <v>120514</v>
      </c>
    </row>
    <row r="399" spans="1:19" s="63" customFormat="1" x14ac:dyDescent="0.2">
      <c r="A399" s="49">
        <v>5</v>
      </c>
      <c r="B399" s="47" t="s">
        <v>183</v>
      </c>
      <c r="C399" s="41">
        <v>150</v>
      </c>
      <c r="D399" s="42">
        <f>2.095*C399/100</f>
        <v>3.1425000000000005</v>
      </c>
      <c r="E399" s="42">
        <f>5.135*C399/100</f>
        <v>7.7024999999999997</v>
      </c>
      <c r="F399" s="42">
        <f>12.04*C399/100</f>
        <v>18.059999999999999</v>
      </c>
      <c r="G399" s="42">
        <f>93.4*C399/100</f>
        <v>140.1</v>
      </c>
      <c r="H399" s="94">
        <f>0.1*C399/100</f>
        <v>0.15</v>
      </c>
      <c r="I399" s="94">
        <f>13.71*C399/100</f>
        <v>20.565000000000001</v>
      </c>
      <c r="J399" s="94">
        <f>0.02*C399/100</f>
        <v>0.03</v>
      </c>
      <c r="K399" s="94">
        <f>0.15*C399/100</f>
        <v>0.22500000000000001</v>
      </c>
      <c r="L399" s="124">
        <f>9.35*C399/100</f>
        <v>14.025</v>
      </c>
      <c r="M399" s="124">
        <f>51.96*C399/100</f>
        <v>77.94</v>
      </c>
      <c r="N399" s="124">
        <f>19.14*C399/100</f>
        <v>28.71</v>
      </c>
      <c r="O399" s="94">
        <f>0.77*C399/100</f>
        <v>1.155</v>
      </c>
      <c r="P399" s="49">
        <f>0.06*C399/100</f>
        <v>0.09</v>
      </c>
      <c r="Q399" s="49">
        <v>4.8899999999999997</v>
      </c>
      <c r="R399" s="67">
        <v>130103</v>
      </c>
      <c r="S399" s="67">
        <v>130104</v>
      </c>
    </row>
    <row r="400" spans="1:19" s="64" customFormat="1" ht="42" customHeight="1" x14ac:dyDescent="0.3">
      <c r="A400" s="49">
        <v>6</v>
      </c>
      <c r="B400" s="47" t="s">
        <v>162</v>
      </c>
      <c r="C400" s="41">
        <v>200</v>
      </c>
      <c r="D400" s="42">
        <f>0.1*C400/100</f>
        <v>0.2</v>
      </c>
      <c r="E400" s="42">
        <f>0.04*C400/100</f>
        <v>0.08</v>
      </c>
      <c r="F400" s="42">
        <f>9.15*C400/100</f>
        <v>18.3</v>
      </c>
      <c r="G400" s="42">
        <f>28.46*C400/100</f>
        <v>56.92</v>
      </c>
      <c r="H400" s="42">
        <v>0</v>
      </c>
      <c r="I400" s="42">
        <f>20*C400/100</f>
        <v>40</v>
      </c>
      <c r="J400" s="42">
        <v>0</v>
      </c>
      <c r="K400" s="42">
        <f>0.07*C400/100</f>
        <v>0.14000000000000001</v>
      </c>
      <c r="L400" s="42">
        <f>9.75*C400/100</f>
        <v>19.5</v>
      </c>
      <c r="M400" s="42">
        <f>6.76*C400/100</f>
        <v>13.52</v>
      </c>
      <c r="N400" s="42">
        <f>4.05*C400/100</f>
        <v>8.1</v>
      </c>
      <c r="O400" s="42">
        <f>0.14*C400/100</f>
        <v>0.28000000000000003</v>
      </c>
      <c r="P400" s="55">
        <v>0</v>
      </c>
      <c r="Q400" s="55">
        <v>4.8899999999999997</v>
      </c>
      <c r="R400" s="67">
        <v>160203</v>
      </c>
      <c r="S400" s="122"/>
    </row>
    <row r="401" spans="1:19" s="63" customFormat="1" x14ac:dyDescent="0.2">
      <c r="A401" s="49">
        <v>7</v>
      </c>
      <c r="B401" s="47" t="s">
        <v>160</v>
      </c>
      <c r="C401" s="41">
        <v>40</v>
      </c>
      <c r="D401" s="42">
        <f>7.76*C401/100</f>
        <v>3.1039999999999996</v>
      </c>
      <c r="E401" s="42">
        <f>2.65*C401/100</f>
        <v>1.06</v>
      </c>
      <c r="F401" s="42">
        <f>53.25*C401/100</f>
        <v>21.3</v>
      </c>
      <c r="G401" s="42">
        <f>273*C401/100</f>
        <v>109.2</v>
      </c>
      <c r="H401" s="42">
        <f>0.34*C401/100</f>
        <v>0.13600000000000001</v>
      </c>
      <c r="I401" s="42">
        <f>0*C401/100</f>
        <v>0</v>
      </c>
      <c r="J401" s="42">
        <v>0</v>
      </c>
      <c r="K401" s="42">
        <f>1.5*C401/100</f>
        <v>0.6</v>
      </c>
      <c r="L401" s="48">
        <f>148.1*C401/100</f>
        <v>59.24</v>
      </c>
      <c r="M401" s="48">
        <f>0*C401/100</f>
        <v>0</v>
      </c>
      <c r="N401" s="48">
        <f>16*C401/100</f>
        <v>6.4</v>
      </c>
      <c r="O401" s="42">
        <f>2.4*C401/100</f>
        <v>0.96</v>
      </c>
      <c r="P401" s="56">
        <f>0.2*C401/100</f>
        <v>0.08</v>
      </c>
      <c r="Q401" s="56">
        <f>1.5*C401/100</f>
        <v>0.6</v>
      </c>
      <c r="R401" s="67">
        <v>200102</v>
      </c>
      <c r="S401" s="67"/>
    </row>
    <row r="402" spans="1:19" s="63" customFormat="1" x14ac:dyDescent="0.2">
      <c r="A402" s="49">
        <v>8</v>
      </c>
      <c r="B402" s="47" t="s">
        <v>222</v>
      </c>
      <c r="C402" s="41">
        <v>40</v>
      </c>
      <c r="D402" s="42">
        <f>9.4*C402/100</f>
        <v>3.76</v>
      </c>
      <c r="E402" s="42">
        <f>5.8*C402/100</f>
        <v>2.3199999999999998</v>
      </c>
      <c r="F402" s="42">
        <f>52.7*C402/100</f>
        <v>21.08</v>
      </c>
      <c r="G402" s="42">
        <f>300.6*C402/100</f>
        <v>120.24</v>
      </c>
      <c r="H402" s="42">
        <f>0.4*C402/100</f>
        <v>0.16</v>
      </c>
      <c r="I402" s="42">
        <f>0.03*C402/100</f>
        <v>1.2E-2</v>
      </c>
      <c r="J402" s="42">
        <v>0</v>
      </c>
      <c r="K402" s="42">
        <f>1.7*C402/100</f>
        <v>0.68</v>
      </c>
      <c r="L402" s="48">
        <f>25.4*C402/100</f>
        <v>10.16</v>
      </c>
      <c r="M402" s="48">
        <f>105.53*C402/100</f>
        <v>42.211999999999996</v>
      </c>
      <c r="N402" s="48">
        <f>36.5*C402/100</f>
        <v>14.6</v>
      </c>
      <c r="O402" s="42">
        <f>2.45*C402/100</f>
        <v>0.98</v>
      </c>
      <c r="P402" s="56">
        <f>0.2*C402/100</f>
        <v>0.08</v>
      </c>
      <c r="Q402" s="56">
        <v>0</v>
      </c>
      <c r="R402" s="67">
        <v>190101</v>
      </c>
      <c r="S402" s="67"/>
    </row>
    <row r="403" spans="1:19" s="4" customFormat="1" x14ac:dyDescent="0.25">
      <c r="A403" s="49"/>
      <c r="B403" s="218" t="s">
        <v>4</v>
      </c>
      <c r="C403" s="120"/>
      <c r="D403" s="170">
        <f t="shared" ref="D403:Q403" si="69">SUM(D395:D402)</f>
        <v>37.036499999999997</v>
      </c>
      <c r="E403" s="170">
        <f t="shared" si="69"/>
        <v>29.276499999999999</v>
      </c>
      <c r="F403" s="170">
        <f t="shared" si="69"/>
        <v>90.834000000000003</v>
      </c>
      <c r="G403" s="170">
        <f t="shared" si="69"/>
        <v>745.94799999999998</v>
      </c>
      <c r="H403" s="170">
        <f t="shared" si="69"/>
        <v>0.58600000000000008</v>
      </c>
      <c r="I403" s="170">
        <f t="shared" si="69"/>
        <v>81.757000000000005</v>
      </c>
      <c r="J403" s="170">
        <f t="shared" si="69"/>
        <v>0.1</v>
      </c>
      <c r="K403" s="170">
        <f t="shared" si="69"/>
        <v>1.7810000000000001</v>
      </c>
      <c r="L403" s="170">
        <f t="shared" si="69"/>
        <v>165.10900000000001</v>
      </c>
      <c r="M403" s="170">
        <f t="shared" si="69"/>
        <v>390.43</v>
      </c>
      <c r="N403" s="170">
        <f t="shared" si="69"/>
        <v>113.93599999999999</v>
      </c>
      <c r="O403" s="170">
        <f t="shared" si="69"/>
        <v>8.479000000000001</v>
      </c>
      <c r="P403" s="170">
        <f t="shared" si="69"/>
        <v>0.60099999999999998</v>
      </c>
      <c r="Q403" s="170">
        <f t="shared" si="69"/>
        <v>56.17</v>
      </c>
      <c r="R403" s="122"/>
      <c r="S403" s="122"/>
    </row>
    <row r="404" spans="1:19" s="4" customFormat="1" ht="18.75" customHeight="1" x14ac:dyDescent="0.25">
      <c r="A404" s="300" t="s">
        <v>35</v>
      </c>
      <c r="B404" s="301"/>
      <c r="C404" s="301"/>
      <c r="D404" s="301"/>
      <c r="E404" s="301"/>
      <c r="F404" s="301"/>
      <c r="G404" s="301"/>
      <c r="H404" s="301"/>
      <c r="I404" s="301"/>
      <c r="J404" s="301"/>
      <c r="K404" s="301"/>
      <c r="L404" s="301"/>
      <c r="M404" s="301"/>
      <c r="N404" s="301"/>
      <c r="O404" s="301"/>
      <c r="P404" s="301"/>
      <c r="Q404" s="301"/>
      <c r="R404" s="301"/>
      <c r="S404" s="347"/>
    </row>
    <row r="405" spans="1:19" s="63" customFormat="1" ht="37.5" x14ac:dyDescent="0.2">
      <c r="A405" s="49">
        <v>1</v>
      </c>
      <c r="B405" s="47" t="s">
        <v>246</v>
      </c>
      <c r="C405" s="41">
        <v>50</v>
      </c>
      <c r="D405" s="60">
        <f>8*C405/100</f>
        <v>4</v>
      </c>
      <c r="E405" s="60">
        <f>5.8*C405/100</f>
        <v>2.9</v>
      </c>
      <c r="F405" s="60">
        <f>53.4*C405/100</f>
        <v>26.7</v>
      </c>
      <c r="G405" s="60">
        <f>297.8*C405/100</f>
        <v>148.9</v>
      </c>
      <c r="H405" s="42">
        <v>0.13</v>
      </c>
      <c r="I405" s="42">
        <v>0</v>
      </c>
      <c r="J405" s="42">
        <v>0.06</v>
      </c>
      <c r="K405" s="42">
        <v>0.94</v>
      </c>
      <c r="L405" s="48">
        <v>27.9</v>
      </c>
      <c r="M405" s="48">
        <v>104.5</v>
      </c>
      <c r="N405" s="48">
        <v>14.2</v>
      </c>
      <c r="O405" s="42">
        <v>0.06</v>
      </c>
      <c r="P405" s="49">
        <v>0.04</v>
      </c>
      <c r="Q405" s="49">
        <v>0.19</v>
      </c>
      <c r="R405" s="183" t="s">
        <v>245</v>
      </c>
      <c r="S405" s="67">
        <v>190203</v>
      </c>
    </row>
    <row r="406" spans="1:19" s="52" customFormat="1" x14ac:dyDescent="0.2">
      <c r="A406" s="49">
        <v>2</v>
      </c>
      <c r="B406" s="47" t="s">
        <v>174</v>
      </c>
      <c r="C406" s="59">
        <v>200</v>
      </c>
      <c r="D406" s="60">
        <f>2.8*C406/100</f>
        <v>5.6</v>
      </c>
      <c r="E406" s="60">
        <f>4*C406/100</f>
        <v>8</v>
      </c>
      <c r="F406" s="60">
        <f>4.2*C406/100</f>
        <v>8.4</v>
      </c>
      <c r="G406" s="42">
        <f>64*C406/100</f>
        <v>128</v>
      </c>
      <c r="H406" s="42">
        <f>0.02*C406/100</f>
        <v>0.04</v>
      </c>
      <c r="I406" s="42">
        <f>0.3*C406/100</f>
        <v>0.6</v>
      </c>
      <c r="J406" s="42">
        <f>0.03*C406/100</f>
        <v>0.06</v>
      </c>
      <c r="K406" s="42">
        <v>0</v>
      </c>
      <c r="L406" s="48">
        <f>124*C406/100</f>
        <v>248</v>
      </c>
      <c r="M406" s="48">
        <f>92*C406/100</f>
        <v>184</v>
      </c>
      <c r="N406" s="48">
        <f>14*C406/100</f>
        <v>28</v>
      </c>
      <c r="O406" s="42">
        <f>0.1*C406/100</f>
        <v>0.2</v>
      </c>
      <c r="P406" s="56">
        <f>0.1*C406/100</f>
        <v>0.2</v>
      </c>
      <c r="Q406" s="56">
        <v>0</v>
      </c>
      <c r="R406" s="67"/>
      <c r="S406" s="67"/>
    </row>
    <row r="407" spans="1:19" s="4" customFormat="1" ht="18.75" customHeight="1" x14ac:dyDescent="0.25">
      <c r="A407" s="49"/>
      <c r="B407" s="218" t="s">
        <v>4</v>
      </c>
      <c r="C407" s="120"/>
      <c r="D407" s="172">
        <f>SUM(D405:D406)</f>
        <v>9.6</v>
      </c>
      <c r="E407" s="172">
        <f t="shared" ref="E407:Q407" si="70">SUM(E405:E406)</f>
        <v>10.9</v>
      </c>
      <c r="F407" s="172">
        <f t="shared" si="70"/>
        <v>35.1</v>
      </c>
      <c r="G407" s="172">
        <f t="shared" si="70"/>
        <v>276.89999999999998</v>
      </c>
      <c r="H407" s="172">
        <f t="shared" si="70"/>
        <v>0.17</v>
      </c>
      <c r="I407" s="172">
        <f t="shared" si="70"/>
        <v>0.6</v>
      </c>
      <c r="J407" s="172">
        <f t="shared" si="70"/>
        <v>0.12</v>
      </c>
      <c r="K407" s="172">
        <f t="shared" si="70"/>
        <v>0.94</v>
      </c>
      <c r="L407" s="172">
        <f t="shared" si="70"/>
        <v>275.89999999999998</v>
      </c>
      <c r="M407" s="172">
        <f t="shared" si="70"/>
        <v>288.5</v>
      </c>
      <c r="N407" s="172">
        <f t="shared" si="70"/>
        <v>42.2</v>
      </c>
      <c r="O407" s="172">
        <f t="shared" si="70"/>
        <v>0.26</v>
      </c>
      <c r="P407" s="170">
        <f t="shared" si="70"/>
        <v>0.24000000000000002</v>
      </c>
      <c r="Q407" s="170">
        <f t="shared" si="70"/>
        <v>0.19</v>
      </c>
      <c r="R407" s="122"/>
      <c r="S407" s="122"/>
    </row>
    <row r="408" spans="1:19" s="4" customFormat="1" ht="18.75" customHeight="1" thickBot="1" x14ac:dyDescent="0.3">
      <c r="A408" s="194"/>
      <c r="B408" s="195" t="s">
        <v>7</v>
      </c>
      <c r="C408" s="196"/>
      <c r="D408" s="174">
        <f t="shared" ref="D408:Q408" si="71">D393+D403+D407</f>
        <v>55.738499999999995</v>
      </c>
      <c r="E408" s="174">
        <f t="shared" si="71"/>
        <v>54.956499999999998</v>
      </c>
      <c r="F408" s="174">
        <f t="shared" si="71"/>
        <v>226.20399999999998</v>
      </c>
      <c r="G408" s="175">
        <f t="shared" si="71"/>
        <v>1594.598</v>
      </c>
      <c r="H408" s="197">
        <f t="shared" si="71"/>
        <v>0.92900000000000016</v>
      </c>
      <c r="I408" s="174">
        <f t="shared" si="71"/>
        <v>104.932</v>
      </c>
      <c r="J408" s="174">
        <f t="shared" si="71"/>
        <v>0.30499999999999999</v>
      </c>
      <c r="K408" s="174">
        <f t="shared" si="71"/>
        <v>3.2410000000000001</v>
      </c>
      <c r="L408" s="174">
        <f t="shared" si="71"/>
        <v>547.31899999999996</v>
      </c>
      <c r="M408" s="174">
        <f t="shared" si="71"/>
        <v>777.41000000000008</v>
      </c>
      <c r="N408" s="174">
        <f t="shared" si="71"/>
        <v>198.58600000000001</v>
      </c>
      <c r="O408" s="198">
        <f t="shared" si="71"/>
        <v>10.389000000000001</v>
      </c>
      <c r="P408" s="198">
        <f t="shared" si="71"/>
        <v>0.92599999999999993</v>
      </c>
      <c r="Q408" s="198">
        <f t="shared" si="71"/>
        <v>62.089999999999996</v>
      </c>
      <c r="R408" s="199"/>
      <c r="S408" s="200"/>
    </row>
    <row r="409" spans="1:19" s="4" customFormat="1" ht="18.75" customHeight="1" thickBot="1" x14ac:dyDescent="0.3">
      <c r="A409" s="358" t="s">
        <v>57</v>
      </c>
      <c r="B409" s="359"/>
      <c r="C409" s="359"/>
      <c r="D409" s="359"/>
      <c r="E409" s="359"/>
      <c r="F409" s="359"/>
      <c r="G409" s="359"/>
      <c r="H409" s="359"/>
      <c r="I409" s="359"/>
      <c r="J409" s="359"/>
      <c r="K409" s="359"/>
      <c r="L409" s="359"/>
      <c r="M409" s="359"/>
      <c r="N409" s="359"/>
      <c r="O409" s="359"/>
      <c r="P409" s="359"/>
      <c r="Q409" s="359"/>
      <c r="R409" s="359"/>
      <c r="S409" s="360"/>
    </row>
    <row r="410" spans="1:19" s="4" customFormat="1" x14ac:dyDescent="0.25">
      <c r="A410" s="304" t="s">
        <v>3</v>
      </c>
      <c r="B410" s="305"/>
      <c r="C410" s="305"/>
      <c r="D410" s="305"/>
      <c r="E410" s="305"/>
      <c r="F410" s="305"/>
      <c r="G410" s="305"/>
      <c r="H410" s="305"/>
      <c r="I410" s="305"/>
      <c r="J410" s="305"/>
      <c r="K410" s="305"/>
      <c r="L410" s="305"/>
      <c r="M410" s="305"/>
      <c r="N410" s="305"/>
      <c r="O410" s="305"/>
      <c r="P410" s="305"/>
      <c r="Q410" s="305"/>
      <c r="R410" s="305"/>
      <c r="S410" s="346"/>
    </row>
    <row r="411" spans="1:19" s="64" customFormat="1" ht="19.5" customHeight="1" x14ac:dyDescent="0.3">
      <c r="A411" s="49">
        <v>1</v>
      </c>
      <c r="B411" s="47" t="s">
        <v>67</v>
      </c>
      <c r="C411" s="41">
        <v>150</v>
      </c>
      <c r="D411" s="116">
        <f>15.4*C411/100</f>
        <v>23.1</v>
      </c>
      <c r="E411" s="116">
        <f>4.1*C411/100</f>
        <v>6.15</v>
      </c>
      <c r="F411" s="116">
        <f>16.2*C411/100</f>
        <v>24.3</v>
      </c>
      <c r="G411" s="116">
        <f>142.8*C411/100</f>
        <v>214.2</v>
      </c>
      <c r="H411" s="42">
        <f>C411*0.05/100</f>
        <v>7.4999999999999997E-2</v>
      </c>
      <c r="I411" s="42">
        <f>0.21*C411/100</f>
        <v>0.315</v>
      </c>
      <c r="J411" s="42">
        <f>C411*0.05/100</f>
        <v>7.4999999999999997E-2</v>
      </c>
      <c r="K411" s="42">
        <f>C411*0.35/100</f>
        <v>0.52500000000000002</v>
      </c>
      <c r="L411" s="42">
        <f>C411*129.32/100</f>
        <v>193.98</v>
      </c>
      <c r="M411" s="42">
        <f>C411*183.98/100</f>
        <v>275.97000000000003</v>
      </c>
      <c r="N411" s="42">
        <f>C411*21.41/100</f>
        <v>32.115000000000002</v>
      </c>
      <c r="O411" s="42">
        <f>C411*0.62/100</f>
        <v>0.93</v>
      </c>
      <c r="P411" s="128">
        <f>0.22*C411/100</f>
        <v>0.33</v>
      </c>
      <c r="Q411" s="128">
        <v>22.98</v>
      </c>
      <c r="R411" s="131">
        <v>120305</v>
      </c>
      <c r="S411" s="122">
        <v>120306</v>
      </c>
    </row>
    <row r="412" spans="1:19" s="64" customFormat="1" ht="19.5" customHeight="1" x14ac:dyDescent="0.3">
      <c r="A412" s="49">
        <v>2</v>
      </c>
      <c r="B412" s="47" t="s">
        <v>157</v>
      </c>
      <c r="C412" s="41">
        <v>30</v>
      </c>
      <c r="D412" s="116">
        <f>2*C412/100</f>
        <v>0.6</v>
      </c>
      <c r="E412" s="116">
        <f>5.2*C412/100</f>
        <v>1.56</v>
      </c>
      <c r="F412" s="116">
        <f>7.1*C412/100</f>
        <v>2.13</v>
      </c>
      <c r="G412" s="116">
        <f>83.2*C412/100</f>
        <v>24.96</v>
      </c>
      <c r="H412" s="42">
        <f>C412*0.05/100</f>
        <v>1.4999999999999999E-2</v>
      </c>
      <c r="I412" s="42">
        <v>1.54</v>
      </c>
      <c r="J412" s="42">
        <f>C412*0.18/100</f>
        <v>5.3999999999999992E-2</v>
      </c>
      <c r="K412" s="42">
        <f>C412*1.19/100</f>
        <v>0.35699999999999998</v>
      </c>
      <c r="L412" s="42">
        <f>C412*83.48/100</f>
        <v>25.044</v>
      </c>
      <c r="M412" s="42">
        <f>C412*148.63/100</f>
        <v>44.588999999999999</v>
      </c>
      <c r="N412" s="42">
        <f>C412*12.79/100</f>
        <v>3.8369999999999997</v>
      </c>
      <c r="O412" s="42">
        <f>C412*1.5/100</f>
        <v>0.45</v>
      </c>
      <c r="P412" s="128">
        <v>0.47</v>
      </c>
      <c r="Q412" s="128">
        <v>1.9</v>
      </c>
      <c r="R412" s="232">
        <v>140108</v>
      </c>
      <c r="S412" s="235">
        <v>140109</v>
      </c>
    </row>
    <row r="413" spans="1:19" s="63" customFormat="1" x14ac:dyDescent="0.2">
      <c r="A413" s="49">
        <v>3</v>
      </c>
      <c r="B413" s="47" t="s">
        <v>122</v>
      </c>
      <c r="C413" s="41">
        <v>200</v>
      </c>
      <c r="D413" s="94">
        <f>2.25*C413/100</f>
        <v>4.5</v>
      </c>
      <c r="E413" s="94">
        <f>2.24*C413/100</f>
        <v>4.4800000000000004</v>
      </c>
      <c r="F413" s="94">
        <f>10.25*C413/100</f>
        <v>20.5</v>
      </c>
      <c r="G413" s="94">
        <f>70.23*C413/100</f>
        <v>140.46</v>
      </c>
      <c r="H413" s="42">
        <f>0.13*C413/100</f>
        <v>0.26</v>
      </c>
      <c r="I413" s="42">
        <f>7*C413/100</f>
        <v>14</v>
      </c>
      <c r="J413" s="42">
        <f>0*C413/100</f>
        <v>0</v>
      </c>
      <c r="K413" s="42">
        <v>0</v>
      </c>
      <c r="L413" s="48">
        <f>1.55*C413/100</f>
        <v>3.1</v>
      </c>
      <c r="M413" s="48">
        <v>0</v>
      </c>
      <c r="N413" s="48">
        <f>0.3*C413/100</f>
        <v>0.6</v>
      </c>
      <c r="O413" s="42">
        <f>0.02*C413/100</f>
        <v>0.04</v>
      </c>
      <c r="P413" s="49">
        <v>0</v>
      </c>
      <c r="Q413" s="49">
        <v>3.58</v>
      </c>
      <c r="R413" s="67">
        <v>160104</v>
      </c>
      <c r="S413" s="67"/>
    </row>
    <row r="414" spans="1:19" s="63" customFormat="1" x14ac:dyDescent="0.2">
      <c r="A414" s="49">
        <v>4</v>
      </c>
      <c r="B414" s="47" t="s">
        <v>160</v>
      </c>
      <c r="C414" s="41">
        <v>20</v>
      </c>
      <c r="D414" s="42">
        <f>7.76*C414/100</f>
        <v>1.5519999999999998</v>
      </c>
      <c r="E414" s="42">
        <f>2.65*C414/100</f>
        <v>0.53</v>
      </c>
      <c r="F414" s="42">
        <f>53.25*C414/100</f>
        <v>10.65</v>
      </c>
      <c r="G414" s="42">
        <f>273*C414/100</f>
        <v>54.6</v>
      </c>
      <c r="H414" s="42">
        <f>0.34*C414/100</f>
        <v>6.8000000000000005E-2</v>
      </c>
      <c r="I414" s="42">
        <f>0*C414/100</f>
        <v>0</v>
      </c>
      <c r="J414" s="42">
        <v>0</v>
      </c>
      <c r="K414" s="42">
        <f>1.5*C414/100</f>
        <v>0.3</v>
      </c>
      <c r="L414" s="48">
        <f>148.1*C414/100</f>
        <v>29.62</v>
      </c>
      <c r="M414" s="48">
        <f>0*C414/100</f>
        <v>0</v>
      </c>
      <c r="N414" s="48">
        <f>16*C414/100</f>
        <v>3.2</v>
      </c>
      <c r="O414" s="42">
        <f>2.4*C414/100</f>
        <v>0.48</v>
      </c>
      <c r="P414" s="56">
        <f>0.2*C414/100</f>
        <v>0.04</v>
      </c>
      <c r="Q414" s="56">
        <f>1.5*C414/100</f>
        <v>0.3</v>
      </c>
      <c r="R414" s="67">
        <v>200102</v>
      </c>
      <c r="S414" s="67"/>
    </row>
    <row r="415" spans="1:19" s="65" customFormat="1" ht="56.25" x14ac:dyDescent="0.2">
      <c r="A415" s="49">
        <v>5</v>
      </c>
      <c r="B415" s="178" t="s">
        <v>188</v>
      </c>
      <c r="C415" s="179">
        <v>20</v>
      </c>
      <c r="D415" s="180">
        <f>26*C415/100</f>
        <v>5.2</v>
      </c>
      <c r="E415" s="180">
        <f>26.1*C415/100</f>
        <v>5.22</v>
      </c>
      <c r="F415" s="180">
        <f>0*C415/100</f>
        <v>0</v>
      </c>
      <c r="G415" s="62">
        <f>344*C415/100</f>
        <v>68.8</v>
      </c>
      <c r="H415" s="56">
        <f>0.03*C415/100</f>
        <v>6.0000000000000001E-3</v>
      </c>
      <c r="I415" s="56">
        <f>0.8*C415/100</f>
        <v>0.16</v>
      </c>
      <c r="J415" s="56">
        <f>0.23*C415/100</f>
        <v>4.6000000000000006E-2</v>
      </c>
      <c r="K415" s="56">
        <f>0.5*C415/100</f>
        <v>0.1</v>
      </c>
      <c r="L415" s="123">
        <f>1000*C415/100</f>
        <v>200</v>
      </c>
      <c r="M415" s="123">
        <f>650*C415/100</f>
        <v>130</v>
      </c>
      <c r="N415" s="123">
        <f>45*C415/100</f>
        <v>9</v>
      </c>
      <c r="O415" s="56">
        <f>0.8*C415/100</f>
        <v>0.16</v>
      </c>
      <c r="P415" s="56">
        <f>0.3*C415/100</f>
        <v>0.06</v>
      </c>
      <c r="Q415" s="56">
        <v>0</v>
      </c>
      <c r="R415" s="67">
        <v>100102</v>
      </c>
      <c r="S415" s="181"/>
    </row>
    <row r="416" spans="1:19" s="53" customFormat="1" ht="18.75" customHeight="1" x14ac:dyDescent="0.25">
      <c r="A416" s="49">
        <v>6</v>
      </c>
      <c r="B416" s="178" t="s">
        <v>277</v>
      </c>
      <c r="C416" s="179" t="s">
        <v>274</v>
      </c>
      <c r="D416" s="180">
        <v>0.3</v>
      </c>
      <c r="E416" s="180">
        <v>0</v>
      </c>
      <c r="F416" s="180">
        <v>27.9</v>
      </c>
      <c r="G416" s="62">
        <v>112.8</v>
      </c>
      <c r="H416" s="56">
        <v>0</v>
      </c>
      <c r="I416" s="56">
        <v>0</v>
      </c>
      <c r="J416" s="56">
        <v>0</v>
      </c>
      <c r="K416" s="56">
        <v>0</v>
      </c>
      <c r="L416" s="123">
        <v>0</v>
      </c>
      <c r="M416" s="123">
        <v>0</v>
      </c>
      <c r="N416" s="123">
        <v>0</v>
      </c>
      <c r="O416" s="56">
        <v>0</v>
      </c>
      <c r="P416" s="56">
        <v>0</v>
      </c>
      <c r="Q416" s="56">
        <v>0</v>
      </c>
      <c r="R416" s="67"/>
      <c r="S416" s="122"/>
    </row>
    <row r="417" spans="1:19" s="4" customFormat="1" x14ac:dyDescent="0.25">
      <c r="A417" s="49"/>
      <c r="B417" s="218" t="s">
        <v>4</v>
      </c>
      <c r="C417" s="120"/>
      <c r="D417" s="172">
        <f t="shared" ref="D417:Q417" si="72">SUM(D411:D416)</f>
        <v>35.252000000000002</v>
      </c>
      <c r="E417" s="172">
        <f t="shared" si="72"/>
        <v>17.940000000000001</v>
      </c>
      <c r="F417" s="172">
        <f t="shared" si="72"/>
        <v>85.47999999999999</v>
      </c>
      <c r="G417" s="172">
        <f t="shared" si="72"/>
        <v>615.82000000000005</v>
      </c>
      <c r="H417" s="172">
        <f t="shared" si="72"/>
        <v>0.42399999999999999</v>
      </c>
      <c r="I417" s="172">
        <f t="shared" si="72"/>
        <v>16.015000000000001</v>
      </c>
      <c r="J417" s="172">
        <f t="shared" si="72"/>
        <v>0.17500000000000002</v>
      </c>
      <c r="K417" s="172">
        <f t="shared" si="72"/>
        <v>1.282</v>
      </c>
      <c r="L417" s="172">
        <f t="shared" si="72"/>
        <v>451.74400000000003</v>
      </c>
      <c r="M417" s="172">
        <f t="shared" si="72"/>
        <v>450.55900000000003</v>
      </c>
      <c r="N417" s="172">
        <f t="shared" si="72"/>
        <v>48.752000000000002</v>
      </c>
      <c r="O417" s="172">
        <f t="shared" si="72"/>
        <v>2.06</v>
      </c>
      <c r="P417" s="170">
        <f t="shared" si="72"/>
        <v>0.90000000000000013</v>
      </c>
      <c r="Q417" s="170">
        <f t="shared" si="72"/>
        <v>28.76</v>
      </c>
      <c r="R417" s="122"/>
      <c r="S417" s="122"/>
    </row>
    <row r="418" spans="1:19" s="4" customFormat="1" x14ac:dyDescent="0.25">
      <c r="A418" s="117"/>
      <c r="B418" s="301" t="s">
        <v>5</v>
      </c>
      <c r="C418" s="301"/>
      <c r="D418" s="301"/>
      <c r="E418" s="301"/>
      <c r="F418" s="301"/>
      <c r="G418" s="301"/>
      <c r="H418" s="301"/>
      <c r="I418" s="301"/>
      <c r="J418" s="301"/>
      <c r="K418" s="301"/>
      <c r="L418" s="301"/>
      <c r="M418" s="301"/>
      <c r="N418" s="301"/>
      <c r="O418" s="301"/>
      <c r="P418" s="301"/>
      <c r="Q418" s="301"/>
      <c r="R418" s="301"/>
      <c r="S418" s="347"/>
    </row>
    <row r="419" spans="1:19" s="63" customFormat="1" x14ac:dyDescent="0.2">
      <c r="A419" s="49">
        <v>1</v>
      </c>
      <c r="B419" s="47" t="s">
        <v>133</v>
      </c>
      <c r="C419" s="182">
        <v>60</v>
      </c>
      <c r="D419" s="42">
        <f>0.74*C419/100</f>
        <v>0.44400000000000001</v>
      </c>
      <c r="E419" s="42">
        <f>12.08*C419/100</f>
        <v>7.2479999999999993</v>
      </c>
      <c r="F419" s="42">
        <f>2.36*C419/100</f>
        <v>1.4159999999999999</v>
      </c>
      <c r="G419" s="42">
        <f>120.69*C419/100</f>
        <v>72.414000000000001</v>
      </c>
      <c r="H419" s="94">
        <f>0.03*C419/100</f>
        <v>1.7999999999999999E-2</v>
      </c>
      <c r="I419" s="94">
        <f>10.3*C419/100</f>
        <v>6.18</v>
      </c>
      <c r="J419" s="94">
        <v>0</v>
      </c>
      <c r="K419" s="94">
        <f>2.16*C419/100</f>
        <v>1.2960000000000003</v>
      </c>
      <c r="L419" s="124">
        <f>22.69*C419/100</f>
        <v>13.614000000000001</v>
      </c>
      <c r="M419" s="124">
        <f>38.15*C419/100</f>
        <v>22.89</v>
      </c>
      <c r="N419" s="124">
        <f>13.17*C419/100</f>
        <v>7.9020000000000001</v>
      </c>
      <c r="O419" s="94">
        <f>0.55*C419/100</f>
        <v>0.33</v>
      </c>
      <c r="P419" s="49">
        <v>0.04</v>
      </c>
      <c r="Q419" s="49">
        <v>1.1299999999999999</v>
      </c>
      <c r="R419" s="67">
        <v>100507</v>
      </c>
      <c r="S419" s="67"/>
    </row>
    <row r="420" spans="1:19" s="63" customFormat="1" x14ac:dyDescent="0.2">
      <c r="A420" s="49">
        <v>2</v>
      </c>
      <c r="B420" s="47" t="s">
        <v>38</v>
      </c>
      <c r="C420" s="41">
        <v>250</v>
      </c>
      <c r="D420" s="42">
        <f>1.6*C420/100</f>
        <v>4</v>
      </c>
      <c r="E420" s="42">
        <f>2.4*C420/100</f>
        <v>6</v>
      </c>
      <c r="F420" s="42">
        <f>6.7*C420/100</f>
        <v>16.75</v>
      </c>
      <c r="G420" s="42">
        <f>54.8*C420/100</f>
        <v>137</v>
      </c>
      <c r="H420" s="42">
        <f>0.03*C420/100</f>
        <v>7.4999999999999997E-2</v>
      </c>
      <c r="I420" s="42">
        <f>2.37*C420/100</f>
        <v>5.9249999999999998</v>
      </c>
      <c r="J420" s="42">
        <f>0*C420/100</f>
        <v>0</v>
      </c>
      <c r="K420" s="42">
        <f>0.06*C420/100</f>
        <v>0.15</v>
      </c>
      <c r="L420" s="48">
        <f>8.68*C420/100</f>
        <v>21.7</v>
      </c>
      <c r="M420" s="48">
        <f>23.37*C420/100</f>
        <v>58.424999999999997</v>
      </c>
      <c r="N420" s="48">
        <f>9.7*C420/100</f>
        <v>24.25</v>
      </c>
      <c r="O420" s="42">
        <f>0.31*C420/100</f>
        <v>0.77500000000000002</v>
      </c>
      <c r="P420" s="49">
        <f>0.02*C420/100</f>
        <v>0.05</v>
      </c>
      <c r="Q420" s="49">
        <v>3.1</v>
      </c>
      <c r="R420" s="67">
        <v>110301</v>
      </c>
      <c r="S420" s="67">
        <v>110302</v>
      </c>
    </row>
    <row r="421" spans="1:19" s="37" customFormat="1" x14ac:dyDescent="0.2">
      <c r="A421" s="49">
        <v>3</v>
      </c>
      <c r="B421" s="47" t="s">
        <v>204</v>
      </c>
      <c r="C421" s="41">
        <v>200</v>
      </c>
      <c r="D421" s="42">
        <f>13.9*C421/100</f>
        <v>27.8</v>
      </c>
      <c r="E421" s="42">
        <f>7*C421/100</f>
        <v>14</v>
      </c>
      <c r="F421" s="42">
        <f>6*C421/100</f>
        <v>12</v>
      </c>
      <c r="G421" s="42">
        <f>142.6*C421/100</f>
        <v>285.2</v>
      </c>
      <c r="H421" s="42">
        <f>0.05*C421/100</f>
        <v>0.1</v>
      </c>
      <c r="I421" s="42">
        <f>2.59*C421/100</f>
        <v>5.18</v>
      </c>
      <c r="J421" s="42">
        <f>1.44*C421/100</f>
        <v>2.88</v>
      </c>
      <c r="K421" s="42">
        <f>1.27*C421/100</f>
        <v>2.54</v>
      </c>
      <c r="L421" s="48">
        <f>14.01*C421/100</f>
        <v>28.02</v>
      </c>
      <c r="M421" s="48">
        <f>129.66*C421/100</f>
        <v>259.32</v>
      </c>
      <c r="N421" s="48">
        <f>20.62*C421/100</f>
        <v>41.24</v>
      </c>
      <c r="O421" s="42">
        <f>1.75*C421/100</f>
        <v>3.5</v>
      </c>
      <c r="P421" s="49">
        <v>0.1</v>
      </c>
      <c r="Q421" s="49">
        <v>3.83</v>
      </c>
      <c r="R421" s="67">
        <v>120609</v>
      </c>
      <c r="S421" s="67">
        <v>120610</v>
      </c>
    </row>
    <row r="422" spans="1:19" s="66" customFormat="1" x14ac:dyDescent="0.2">
      <c r="A422" s="49">
        <v>4</v>
      </c>
      <c r="B422" s="47" t="s">
        <v>231</v>
      </c>
      <c r="C422" s="41">
        <v>200</v>
      </c>
      <c r="D422" s="60">
        <f>0.7*C422/100</f>
        <v>1.4</v>
      </c>
      <c r="E422" s="60">
        <v>0</v>
      </c>
      <c r="F422" s="60">
        <f>12*C422/100</f>
        <v>24</v>
      </c>
      <c r="G422" s="60">
        <f>48*C422/100</f>
        <v>96</v>
      </c>
      <c r="H422" s="42">
        <f>0.105*C422/100</f>
        <v>0.21</v>
      </c>
      <c r="I422" s="42">
        <f>2*C422/100</f>
        <v>4</v>
      </c>
      <c r="J422" s="42">
        <f>0.03*C422/100</f>
        <v>0.06</v>
      </c>
      <c r="K422" s="42">
        <f>0.35*C422/100</f>
        <v>0.7</v>
      </c>
      <c r="L422" s="48">
        <f>10.5*C422/100</f>
        <v>21</v>
      </c>
      <c r="M422" s="48">
        <f>8*C422/100</f>
        <v>16</v>
      </c>
      <c r="N422" s="48">
        <f>11.5*C422/100</f>
        <v>23</v>
      </c>
      <c r="O422" s="49">
        <f>0.35*C422/100</f>
        <v>0.7</v>
      </c>
      <c r="P422" s="49">
        <v>0</v>
      </c>
      <c r="Q422" s="49">
        <v>0.4</v>
      </c>
      <c r="R422" s="67"/>
      <c r="S422" s="67"/>
    </row>
    <row r="423" spans="1:19" s="63" customFormat="1" x14ac:dyDescent="0.2">
      <c r="A423" s="49">
        <v>5</v>
      </c>
      <c r="B423" s="47" t="s">
        <v>160</v>
      </c>
      <c r="C423" s="41">
        <v>40</v>
      </c>
      <c r="D423" s="42">
        <f>7.76*C423/100</f>
        <v>3.1039999999999996</v>
      </c>
      <c r="E423" s="42">
        <f>2.65*C423/100</f>
        <v>1.06</v>
      </c>
      <c r="F423" s="42">
        <f>53.25*C423/100</f>
        <v>21.3</v>
      </c>
      <c r="G423" s="42">
        <f>273*C423/100</f>
        <v>109.2</v>
      </c>
      <c r="H423" s="42">
        <f>0.34*C423/100</f>
        <v>0.13600000000000001</v>
      </c>
      <c r="I423" s="42">
        <f>0*C423/100</f>
        <v>0</v>
      </c>
      <c r="J423" s="42">
        <v>0</v>
      </c>
      <c r="K423" s="42">
        <f>1.5*C423/100</f>
        <v>0.6</v>
      </c>
      <c r="L423" s="48">
        <f>148.1*C423/100</f>
        <v>59.24</v>
      </c>
      <c r="M423" s="48">
        <f>0*C423/100</f>
        <v>0</v>
      </c>
      <c r="N423" s="48">
        <f>16*C423/100</f>
        <v>6.4</v>
      </c>
      <c r="O423" s="42">
        <f>2.4*C423/100</f>
        <v>0.96</v>
      </c>
      <c r="P423" s="56">
        <f>0.2*C423/100</f>
        <v>0.08</v>
      </c>
      <c r="Q423" s="56">
        <f>1.5*C423/100</f>
        <v>0.6</v>
      </c>
      <c r="R423" s="67">
        <v>200102</v>
      </c>
      <c r="S423" s="67"/>
    </row>
    <row r="424" spans="1:19" s="63" customFormat="1" x14ac:dyDescent="0.2">
      <c r="A424" s="49">
        <v>6</v>
      </c>
      <c r="B424" s="47" t="s">
        <v>159</v>
      </c>
      <c r="C424" s="41">
        <v>20</v>
      </c>
      <c r="D424" s="42">
        <f>5.86*C424/100</f>
        <v>1.1719999999999999</v>
      </c>
      <c r="E424" s="42">
        <f>0.94*C424/100</f>
        <v>0.18799999999999997</v>
      </c>
      <c r="F424" s="42">
        <f>44.4*C424/100</f>
        <v>8.8800000000000008</v>
      </c>
      <c r="G424" s="42">
        <f>189*C424/100</f>
        <v>37.799999999999997</v>
      </c>
      <c r="H424" s="42">
        <f>0.4*C424/100</f>
        <v>0.08</v>
      </c>
      <c r="I424" s="42">
        <f>0.03*C424/100</f>
        <v>6.0000000000000001E-3</v>
      </c>
      <c r="J424" s="42">
        <v>0</v>
      </c>
      <c r="K424" s="42">
        <f>1.7*C424/100</f>
        <v>0.34</v>
      </c>
      <c r="L424" s="48">
        <f>25.4*C424/100</f>
        <v>5.08</v>
      </c>
      <c r="M424" s="48">
        <f>105.53*C424/100</f>
        <v>21.105999999999998</v>
      </c>
      <c r="N424" s="48">
        <f>36.5*C424/100</f>
        <v>7.3</v>
      </c>
      <c r="O424" s="42">
        <f>2.45*C424/100</f>
        <v>0.49</v>
      </c>
      <c r="P424" s="56">
        <f>0.2*C424/100</f>
        <v>0.04</v>
      </c>
      <c r="Q424" s="56">
        <f>10*C424/100</f>
        <v>2</v>
      </c>
      <c r="R424" s="67">
        <v>200103</v>
      </c>
      <c r="S424" s="67"/>
    </row>
    <row r="425" spans="1:19" s="4" customFormat="1" x14ac:dyDescent="0.25">
      <c r="A425" s="49"/>
      <c r="B425" s="218" t="s">
        <v>4</v>
      </c>
      <c r="C425" s="120"/>
      <c r="D425" s="170">
        <f t="shared" ref="D425:Q425" si="73">SUM(D419:D424)</f>
        <v>37.919999999999995</v>
      </c>
      <c r="E425" s="170">
        <f t="shared" si="73"/>
        <v>28.495999999999995</v>
      </c>
      <c r="F425" s="170">
        <f t="shared" si="73"/>
        <v>84.345999999999989</v>
      </c>
      <c r="G425" s="170">
        <f t="shared" si="73"/>
        <v>737.61400000000003</v>
      </c>
      <c r="H425" s="170">
        <f t="shared" si="73"/>
        <v>0.61899999999999999</v>
      </c>
      <c r="I425" s="170">
        <f t="shared" si="73"/>
        <v>21.291</v>
      </c>
      <c r="J425" s="170">
        <f t="shared" si="73"/>
        <v>2.94</v>
      </c>
      <c r="K425" s="170">
        <f t="shared" si="73"/>
        <v>5.6259999999999994</v>
      </c>
      <c r="L425" s="170">
        <f t="shared" si="73"/>
        <v>148.65400000000002</v>
      </c>
      <c r="M425" s="170">
        <f t="shared" si="73"/>
        <v>377.74099999999999</v>
      </c>
      <c r="N425" s="170">
        <f t="shared" si="73"/>
        <v>110.092</v>
      </c>
      <c r="O425" s="170">
        <f t="shared" si="73"/>
        <v>6.7550000000000008</v>
      </c>
      <c r="P425" s="170">
        <f t="shared" si="73"/>
        <v>0.31</v>
      </c>
      <c r="Q425" s="170">
        <f t="shared" si="73"/>
        <v>11.06</v>
      </c>
      <c r="R425" s="122"/>
      <c r="S425" s="122"/>
    </row>
    <row r="426" spans="1:19" s="4" customFormat="1" ht="19.5" thickBot="1" x14ac:dyDescent="0.3">
      <c r="A426" s="300" t="s">
        <v>35</v>
      </c>
      <c r="B426" s="301"/>
      <c r="C426" s="301"/>
      <c r="D426" s="301"/>
      <c r="E426" s="301"/>
      <c r="F426" s="301"/>
      <c r="G426" s="301"/>
      <c r="H426" s="301"/>
      <c r="I426" s="301"/>
      <c r="J426" s="301"/>
      <c r="K426" s="301"/>
      <c r="L426" s="301"/>
      <c r="M426" s="301"/>
      <c r="N426" s="301"/>
      <c r="O426" s="301"/>
      <c r="P426" s="301"/>
      <c r="Q426" s="301"/>
      <c r="R426" s="301"/>
      <c r="S426" s="348"/>
    </row>
    <row r="427" spans="1:19" s="63" customFormat="1" x14ac:dyDescent="0.2">
      <c r="A427" s="49">
        <v>1</v>
      </c>
      <c r="B427" s="47" t="s">
        <v>31</v>
      </c>
      <c r="C427" s="59">
        <v>200</v>
      </c>
      <c r="D427" s="60">
        <v>0</v>
      </c>
      <c r="E427" s="60">
        <v>0</v>
      </c>
      <c r="F427" s="60">
        <f>4.99*C427/100</f>
        <v>9.98</v>
      </c>
      <c r="G427" s="42">
        <f>19.95*C427/100</f>
        <v>39.9</v>
      </c>
      <c r="H427" s="42">
        <v>0</v>
      </c>
      <c r="I427" s="42">
        <v>0</v>
      </c>
      <c r="J427" s="42">
        <v>0</v>
      </c>
      <c r="K427" s="42">
        <v>0</v>
      </c>
      <c r="L427" s="48">
        <f>8.15*C427/100</f>
        <v>16.3</v>
      </c>
      <c r="M427" s="48">
        <f>0.02*C427/100</f>
        <v>0.04</v>
      </c>
      <c r="N427" s="48">
        <f>1.79*C427/100</f>
        <v>3.58</v>
      </c>
      <c r="O427" s="42">
        <f>0.02*C427/100</f>
        <v>0.04</v>
      </c>
      <c r="P427" s="49">
        <f>0.01*C427/100</f>
        <v>0.02</v>
      </c>
      <c r="Q427" s="49">
        <v>0.48</v>
      </c>
      <c r="R427" s="67">
        <v>160105</v>
      </c>
      <c r="S427" s="67"/>
    </row>
    <row r="428" spans="1:19" s="63" customFormat="1" x14ac:dyDescent="0.2">
      <c r="A428" s="49">
        <v>2</v>
      </c>
      <c r="B428" s="47" t="s">
        <v>185</v>
      </c>
      <c r="C428" s="41">
        <v>50</v>
      </c>
      <c r="D428" s="42">
        <f>5.7*C428/100</f>
        <v>2.85</v>
      </c>
      <c r="E428" s="42">
        <f>20.3*C428/100</f>
        <v>10.15</v>
      </c>
      <c r="F428" s="42">
        <f>56.7*C428/100</f>
        <v>28.35</v>
      </c>
      <c r="G428" s="42">
        <f>432.3*C428/100</f>
        <v>216.15</v>
      </c>
      <c r="H428" s="42">
        <f>C428*0.19/100</f>
        <v>9.5000000000000001E-2</v>
      </c>
      <c r="I428" s="42">
        <f>C428*0.08/100</f>
        <v>0.04</v>
      </c>
      <c r="J428" s="42">
        <f>C428*0.13/100</f>
        <v>6.5000000000000002E-2</v>
      </c>
      <c r="K428" s="42">
        <f>C428*3.69/100</f>
        <v>1.845</v>
      </c>
      <c r="L428" s="48">
        <f>C428*53.49/100</f>
        <v>26.745000000000001</v>
      </c>
      <c r="M428" s="48">
        <f>C428*87.07/100</f>
        <v>43.534999999999997</v>
      </c>
      <c r="N428" s="48">
        <f>C428*6.86/100</f>
        <v>3.43</v>
      </c>
      <c r="O428" s="42">
        <f>C428*0.74/100</f>
        <v>0.37</v>
      </c>
      <c r="P428" s="49">
        <v>0.08</v>
      </c>
      <c r="Q428" s="49">
        <v>0.43</v>
      </c>
      <c r="R428" s="67">
        <v>170604</v>
      </c>
      <c r="S428" s="51">
        <v>170605</v>
      </c>
    </row>
    <row r="429" spans="1:19" s="4" customFormat="1" ht="18.75" customHeight="1" x14ac:dyDescent="0.25">
      <c r="A429" s="49"/>
      <c r="B429" s="218" t="s">
        <v>4</v>
      </c>
      <c r="C429" s="120"/>
      <c r="D429" s="172">
        <f t="shared" ref="D429:Q429" si="74">SUM(D427:D428)</f>
        <v>2.85</v>
      </c>
      <c r="E429" s="172">
        <f t="shared" si="74"/>
        <v>10.15</v>
      </c>
      <c r="F429" s="172">
        <f t="shared" si="74"/>
        <v>38.33</v>
      </c>
      <c r="G429" s="172">
        <f t="shared" si="74"/>
        <v>256.05</v>
      </c>
      <c r="H429" s="172">
        <f t="shared" si="74"/>
        <v>9.5000000000000001E-2</v>
      </c>
      <c r="I429" s="172">
        <f t="shared" si="74"/>
        <v>0.04</v>
      </c>
      <c r="J429" s="172">
        <f t="shared" si="74"/>
        <v>6.5000000000000002E-2</v>
      </c>
      <c r="K429" s="172">
        <f t="shared" si="74"/>
        <v>1.845</v>
      </c>
      <c r="L429" s="172">
        <f t="shared" si="74"/>
        <v>43.045000000000002</v>
      </c>
      <c r="M429" s="172">
        <f t="shared" si="74"/>
        <v>43.574999999999996</v>
      </c>
      <c r="N429" s="172">
        <f t="shared" si="74"/>
        <v>7.01</v>
      </c>
      <c r="O429" s="172">
        <f t="shared" si="74"/>
        <v>0.41</v>
      </c>
      <c r="P429" s="170">
        <f t="shared" si="74"/>
        <v>0.1</v>
      </c>
      <c r="Q429" s="170">
        <f t="shared" si="74"/>
        <v>0.90999999999999992</v>
      </c>
      <c r="R429" s="122"/>
      <c r="S429" s="58"/>
    </row>
    <row r="430" spans="1:19" s="4" customFormat="1" x14ac:dyDescent="0.25">
      <c r="A430" s="49"/>
      <c r="B430" s="218" t="s">
        <v>7</v>
      </c>
      <c r="C430" s="120"/>
      <c r="D430" s="170">
        <f t="shared" ref="D430:Q430" si="75">D417+D425+D429</f>
        <v>76.021999999999991</v>
      </c>
      <c r="E430" s="170">
        <f t="shared" si="75"/>
        <v>56.585999999999991</v>
      </c>
      <c r="F430" s="170">
        <f t="shared" si="75"/>
        <v>208.15599999999995</v>
      </c>
      <c r="G430" s="170">
        <f t="shared" si="75"/>
        <v>1609.4840000000002</v>
      </c>
      <c r="H430" s="170">
        <f t="shared" si="75"/>
        <v>1.1379999999999999</v>
      </c>
      <c r="I430" s="170">
        <f t="shared" si="75"/>
        <v>37.345999999999997</v>
      </c>
      <c r="J430" s="170">
        <f t="shared" si="75"/>
        <v>3.1799999999999997</v>
      </c>
      <c r="K430" s="170">
        <f t="shared" si="75"/>
        <v>8.7530000000000001</v>
      </c>
      <c r="L430" s="170">
        <f t="shared" si="75"/>
        <v>643.44299999999998</v>
      </c>
      <c r="M430" s="170">
        <f t="shared" si="75"/>
        <v>871.875</v>
      </c>
      <c r="N430" s="170">
        <f t="shared" si="75"/>
        <v>165.85399999999998</v>
      </c>
      <c r="O430" s="170">
        <f t="shared" si="75"/>
        <v>9.2250000000000014</v>
      </c>
      <c r="P430" s="170">
        <f t="shared" si="75"/>
        <v>1.3100000000000003</v>
      </c>
      <c r="Q430" s="170">
        <f t="shared" si="75"/>
        <v>40.729999999999997</v>
      </c>
      <c r="R430" s="122"/>
      <c r="S430" s="105"/>
    </row>
    <row r="431" spans="1:19" s="46" customFormat="1" x14ac:dyDescent="0.25">
      <c r="A431" s="49"/>
      <c r="B431" s="218" t="s">
        <v>153</v>
      </c>
      <c r="C431" s="120"/>
      <c r="D431" s="170">
        <f t="shared" ref="D431:Q431" si="76">(D318+D341+D365+D385+D408+D430)/6</f>
        <v>61.036916666666663</v>
      </c>
      <c r="E431" s="170">
        <f t="shared" si="76"/>
        <v>55.466916666666663</v>
      </c>
      <c r="F431" s="170">
        <f t="shared" si="76"/>
        <v>213.40700000000001</v>
      </c>
      <c r="G431" s="170">
        <f t="shared" si="76"/>
        <v>1571.1136666666669</v>
      </c>
      <c r="H431" s="170">
        <f t="shared" si="76"/>
        <v>1.1926333333333334</v>
      </c>
      <c r="I431" s="170">
        <f t="shared" si="76"/>
        <v>83.289000000000001</v>
      </c>
      <c r="J431" s="170">
        <f t="shared" si="76"/>
        <v>2.0416666666666665</v>
      </c>
      <c r="K431" s="170">
        <f t="shared" si="76"/>
        <v>6.3658333333333337</v>
      </c>
      <c r="L431" s="170">
        <f t="shared" si="76"/>
        <v>626.68866666666656</v>
      </c>
      <c r="M431" s="170">
        <f t="shared" si="76"/>
        <v>725.05150000000003</v>
      </c>
      <c r="N431" s="170">
        <f t="shared" si="76"/>
        <v>182.31083333333333</v>
      </c>
      <c r="O431" s="170">
        <f t="shared" si="76"/>
        <v>9.0618000000000016</v>
      </c>
      <c r="P431" s="170">
        <f t="shared" si="76"/>
        <v>1.0025000000000002</v>
      </c>
      <c r="Q431" s="170">
        <f t="shared" si="76"/>
        <v>47.141666666666659</v>
      </c>
      <c r="R431" s="122"/>
      <c r="S431" s="122"/>
    </row>
    <row r="432" spans="1:19" s="4" customFormat="1" ht="19.5" customHeight="1" thickBot="1" x14ac:dyDescent="0.3">
      <c r="A432" s="352" t="s">
        <v>58</v>
      </c>
      <c r="B432" s="353"/>
      <c r="C432" s="353"/>
      <c r="D432" s="353"/>
      <c r="E432" s="353"/>
      <c r="F432" s="353"/>
      <c r="G432" s="353"/>
      <c r="H432" s="353"/>
      <c r="I432" s="353"/>
      <c r="J432" s="353"/>
      <c r="K432" s="353"/>
      <c r="L432" s="353"/>
      <c r="M432" s="353"/>
      <c r="N432" s="353"/>
      <c r="O432" s="353"/>
      <c r="P432" s="353"/>
      <c r="Q432" s="353"/>
      <c r="R432" s="353"/>
      <c r="S432" s="354"/>
    </row>
    <row r="433" spans="1:19" s="4" customFormat="1" ht="19.5" customHeight="1" x14ac:dyDescent="0.25">
      <c r="A433" s="349" t="s">
        <v>3</v>
      </c>
      <c r="B433" s="350"/>
      <c r="C433" s="350"/>
      <c r="D433" s="350"/>
      <c r="E433" s="350"/>
      <c r="F433" s="350"/>
      <c r="G433" s="350"/>
      <c r="H433" s="350"/>
      <c r="I433" s="350"/>
      <c r="J433" s="350"/>
      <c r="K433" s="350"/>
      <c r="L433" s="350"/>
      <c r="M433" s="350"/>
      <c r="N433" s="350"/>
      <c r="O433" s="350"/>
      <c r="P433" s="350"/>
      <c r="Q433" s="350"/>
      <c r="R433" s="350"/>
      <c r="S433" s="351"/>
    </row>
    <row r="434" spans="1:19" s="63" customFormat="1" ht="37.5" x14ac:dyDescent="0.2">
      <c r="A434" s="49">
        <v>1</v>
      </c>
      <c r="B434" s="47" t="s">
        <v>212</v>
      </c>
      <c r="C434" s="41">
        <v>98</v>
      </c>
      <c r="D434" s="42">
        <f>10.4*C434/100</f>
        <v>10.192</v>
      </c>
      <c r="E434" s="42">
        <f>20.1*C434/100</f>
        <v>19.698</v>
      </c>
      <c r="F434" s="42">
        <f>0.8*C434/100</f>
        <v>0.78400000000000003</v>
      </c>
      <c r="G434" s="42">
        <f>226*C434/100</f>
        <v>221.48</v>
      </c>
      <c r="H434" s="42">
        <f>0.03*C434/100</f>
        <v>2.9399999999999999E-2</v>
      </c>
      <c r="I434" s="42">
        <f>0*C434/100</f>
        <v>0</v>
      </c>
      <c r="J434" s="42">
        <f>0*C434/100</f>
        <v>0</v>
      </c>
      <c r="K434" s="42">
        <f>0*C434/100</f>
        <v>0</v>
      </c>
      <c r="L434" s="48">
        <f>25*C434/100</f>
        <v>24.5</v>
      </c>
      <c r="M434" s="48">
        <f>0*C434/100</f>
        <v>0</v>
      </c>
      <c r="N434" s="48">
        <f>0*C434/100</f>
        <v>0</v>
      </c>
      <c r="O434" s="42">
        <f>1.8*C434/100</f>
        <v>1.764</v>
      </c>
      <c r="P434" s="49">
        <f>0.09*C434/100</f>
        <v>8.8200000000000001E-2</v>
      </c>
      <c r="Q434" s="49">
        <v>3.5</v>
      </c>
      <c r="R434" s="67">
        <v>120502</v>
      </c>
      <c r="S434" s="67"/>
    </row>
    <row r="435" spans="1:19" s="63" customFormat="1" x14ac:dyDescent="0.2">
      <c r="A435" s="49">
        <v>2</v>
      </c>
      <c r="B435" s="47" t="s">
        <v>69</v>
      </c>
      <c r="C435" s="41">
        <v>150</v>
      </c>
      <c r="D435" s="42">
        <f>2.2*C435/100</f>
        <v>3.3</v>
      </c>
      <c r="E435" s="42">
        <f>3.8*C435/100</f>
        <v>5.7</v>
      </c>
      <c r="F435" s="42">
        <f>14.8*C435/100</f>
        <v>22.2</v>
      </c>
      <c r="G435" s="42">
        <f>102*C435/100</f>
        <v>153</v>
      </c>
      <c r="H435" s="42">
        <f>0.03*C435/100</f>
        <v>4.4999999999999998E-2</v>
      </c>
      <c r="I435" s="42">
        <f>8.15*C435/100</f>
        <v>12.225</v>
      </c>
      <c r="J435" s="42">
        <f>0.02*C435/100</f>
        <v>0.03</v>
      </c>
      <c r="K435" s="42">
        <f>0.27*C435/100</f>
        <v>0.40500000000000003</v>
      </c>
      <c r="L435" s="48">
        <f>41.03*C435/100</f>
        <v>61.545000000000002</v>
      </c>
      <c r="M435" s="48">
        <f>34.83*C435/100</f>
        <v>52.244999999999997</v>
      </c>
      <c r="N435" s="48">
        <f>17.6*C435/100</f>
        <v>26.4</v>
      </c>
      <c r="O435" s="42">
        <f>0.73*C435/100</f>
        <v>1.095</v>
      </c>
      <c r="P435" s="49">
        <f>0.03*C435/100</f>
        <v>4.4999999999999998E-2</v>
      </c>
      <c r="Q435" s="49">
        <v>6.27</v>
      </c>
      <c r="R435" s="67">
        <v>130201</v>
      </c>
      <c r="S435" s="67">
        <v>130202</v>
      </c>
    </row>
    <row r="436" spans="1:19" s="63" customFormat="1" x14ac:dyDescent="0.2">
      <c r="A436" s="49">
        <v>3</v>
      </c>
      <c r="B436" s="47" t="s">
        <v>31</v>
      </c>
      <c r="C436" s="59">
        <v>200</v>
      </c>
      <c r="D436" s="60">
        <v>0</v>
      </c>
      <c r="E436" s="60">
        <v>0</v>
      </c>
      <c r="F436" s="60">
        <f>4.99*C436/100</f>
        <v>9.98</v>
      </c>
      <c r="G436" s="42">
        <f>19.95*C436/100</f>
        <v>39.9</v>
      </c>
      <c r="H436" s="42">
        <v>0</v>
      </c>
      <c r="I436" s="42">
        <v>0</v>
      </c>
      <c r="J436" s="42">
        <v>0</v>
      </c>
      <c r="K436" s="42">
        <v>0</v>
      </c>
      <c r="L436" s="48">
        <f>8.15*C436/100</f>
        <v>16.3</v>
      </c>
      <c r="M436" s="48">
        <f>0.02*C436/100</f>
        <v>0.04</v>
      </c>
      <c r="N436" s="48">
        <f>1.79*C436/100</f>
        <v>3.58</v>
      </c>
      <c r="O436" s="42">
        <f>0.02*C436/100</f>
        <v>0.04</v>
      </c>
      <c r="P436" s="49">
        <f>0.01*C436/100</f>
        <v>0.02</v>
      </c>
      <c r="Q436" s="49">
        <v>0.48</v>
      </c>
      <c r="R436" s="67">
        <v>160105</v>
      </c>
      <c r="S436" s="67"/>
    </row>
    <row r="437" spans="1:19" s="63" customFormat="1" x14ac:dyDescent="0.2">
      <c r="A437" s="49">
        <v>4</v>
      </c>
      <c r="B437" s="96" t="s">
        <v>142</v>
      </c>
      <c r="C437" s="41">
        <v>30</v>
      </c>
      <c r="D437" s="42">
        <f>8.8*C437/100</f>
        <v>2.64</v>
      </c>
      <c r="E437" s="42">
        <f>1.7*C437/100</f>
        <v>0.51</v>
      </c>
      <c r="F437" s="42">
        <f>29.4*C437/100</f>
        <v>8.82</v>
      </c>
      <c r="G437" s="42">
        <f>168*C437/100</f>
        <v>50.4</v>
      </c>
      <c r="H437" s="42">
        <f>0.34*C437/100</f>
        <v>0.10200000000000001</v>
      </c>
      <c r="I437" s="42">
        <f>0*C437/100</f>
        <v>0</v>
      </c>
      <c r="J437" s="42">
        <v>0</v>
      </c>
      <c r="K437" s="42">
        <f>1.5*C437/100</f>
        <v>0.45</v>
      </c>
      <c r="L437" s="48">
        <f>148.1*C437/100</f>
        <v>44.43</v>
      </c>
      <c r="M437" s="48">
        <f>0*C437/100</f>
        <v>0</v>
      </c>
      <c r="N437" s="48">
        <f>16*C437/100</f>
        <v>4.8</v>
      </c>
      <c r="O437" s="42">
        <f>2.4*C437/100</f>
        <v>0.72</v>
      </c>
      <c r="P437" s="56">
        <f>0.2*C437/100</f>
        <v>0.06</v>
      </c>
      <c r="Q437" s="56">
        <v>10</v>
      </c>
      <c r="R437" s="67">
        <v>200101</v>
      </c>
      <c r="S437" s="67"/>
    </row>
    <row r="438" spans="1:19" s="46" customFormat="1" ht="18.75" customHeight="1" x14ac:dyDescent="0.3">
      <c r="A438" s="49">
        <v>5</v>
      </c>
      <c r="B438" s="47" t="s">
        <v>232</v>
      </c>
      <c r="C438" s="41" t="s">
        <v>274</v>
      </c>
      <c r="D438" s="42">
        <v>0.8</v>
      </c>
      <c r="E438" s="42">
        <v>0.4</v>
      </c>
      <c r="F438" s="42">
        <v>8.1</v>
      </c>
      <c r="G438" s="42">
        <v>47</v>
      </c>
      <c r="H438" s="42">
        <v>0.02</v>
      </c>
      <c r="I438" s="42">
        <v>180</v>
      </c>
      <c r="J438" s="42">
        <v>0</v>
      </c>
      <c r="K438" s="42">
        <v>0.3</v>
      </c>
      <c r="L438" s="42">
        <v>40</v>
      </c>
      <c r="M438" s="42">
        <v>34</v>
      </c>
      <c r="N438" s="42">
        <v>25</v>
      </c>
      <c r="O438" s="42">
        <v>1E-3</v>
      </c>
      <c r="P438" s="55">
        <v>0.02</v>
      </c>
      <c r="Q438" s="55">
        <f>2*100/100</f>
        <v>2</v>
      </c>
      <c r="R438" s="122">
        <v>210105</v>
      </c>
      <c r="S438" s="122"/>
    </row>
    <row r="439" spans="1:19" s="4" customFormat="1" x14ac:dyDescent="0.25">
      <c r="A439" s="49"/>
      <c r="B439" s="219" t="s">
        <v>4</v>
      </c>
      <c r="C439" s="109"/>
      <c r="D439" s="172">
        <f t="shared" ref="D439:Q439" si="77">SUM(D434:D438)</f>
        <v>16.932000000000002</v>
      </c>
      <c r="E439" s="172">
        <f t="shared" si="77"/>
        <v>26.308</v>
      </c>
      <c r="F439" s="172">
        <f t="shared" si="77"/>
        <v>49.884</v>
      </c>
      <c r="G439" s="172">
        <f t="shared" si="77"/>
        <v>511.78</v>
      </c>
      <c r="H439" s="172">
        <f t="shared" si="77"/>
        <v>0.19639999999999999</v>
      </c>
      <c r="I439" s="172">
        <f t="shared" si="77"/>
        <v>192.22499999999999</v>
      </c>
      <c r="J439" s="172">
        <f t="shared" si="77"/>
        <v>0.03</v>
      </c>
      <c r="K439" s="172">
        <f t="shared" si="77"/>
        <v>1.155</v>
      </c>
      <c r="L439" s="172">
        <f t="shared" si="77"/>
        <v>186.77500000000001</v>
      </c>
      <c r="M439" s="172">
        <f t="shared" si="77"/>
        <v>86.284999999999997</v>
      </c>
      <c r="N439" s="172">
        <f t="shared" si="77"/>
        <v>59.779999999999994</v>
      </c>
      <c r="O439" s="172">
        <f t="shared" si="77"/>
        <v>3.6199999999999997</v>
      </c>
      <c r="P439" s="170">
        <f t="shared" si="77"/>
        <v>0.23319999999999996</v>
      </c>
      <c r="Q439" s="170">
        <f t="shared" si="77"/>
        <v>22.25</v>
      </c>
      <c r="R439" s="122"/>
      <c r="S439" s="122"/>
    </row>
    <row r="440" spans="1:19" s="4" customFormat="1" ht="19.5" customHeight="1" x14ac:dyDescent="0.25">
      <c r="A440" s="314" t="s">
        <v>5</v>
      </c>
      <c r="B440" s="315"/>
      <c r="C440" s="315"/>
      <c r="D440" s="315"/>
      <c r="E440" s="315"/>
      <c r="F440" s="315"/>
      <c r="G440" s="315"/>
      <c r="H440" s="315"/>
      <c r="I440" s="315"/>
      <c r="J440" s="315"/>
      <c r="K440" s="315"/>
      <c r="L440" s="315"/>
      <c r="M440" s="315"/>
      <c r="N440" s="315"/>
      <c r="O440" s="315"/>
      <c r="P440" s="315"/>
      <c r="Q440" s="315"/>
      <c r="R440" s="315"/>
      <c r="S440" s="343"/>
    </row>
    <row r="441" spans="1:19" s="63" customFormat="1" x14ac:dyDescent="0.2">
      <c r="A441" s="49">
        <v>1</v>
      </c>
      <c r="B441" s="47" t="s">
        <v>128</v>
      </c>
      <c r="C441" s="182">
        <v>60</v>
      </c>
      <c r="D441" s="42">
        <f>3.25*C441/100</f>
        <v>1.95</v>
      </c>
      <c r="E441" s="42">
        <f>4.41*C441/100</f>
        <v>2.6460000000000004</v>
      </c>
      <c r="F441" s="42">
        <f>8.06*C441/100</f>
        <v>4.8360000000000003</v>
      </c>
      <c r="G441" s="42">
        <f>84.56*C441/100</f>
        <v>50.736000000000004</v>
      </c>
      <c r="H441" s="42">
        <f>0.02*C441/100</f>
        <v>1.2E-2</v>
      </c>
      <c r="I441" s="42">
        <f>5.94*C441/100</f>
        <v>3.5640000000000005</v>
      </c>
      <c r="J441" s="42">
        <f>0*C441/100</f>
        <v>0</v>
      </c>
      <c r="K441" s="42">
        <f>0.12*C441/100</f>
        <v>7.1999999999999995E-2</v>
      </c>
      <c r="L441" s="48">
        <f>101.08*C441/100</f>
        <v>60.648000000000003</v>
      </c>
      <c r="M441" s="48">
        <f>80.92*C441/100</f>
        <v>48.552</v>
      </c>
      <c r="N441" s="48">
        <f>21.63*C441/100</f>
        <v>12.978</v>
      </c>
      <c r="O441" s="42">
        <f>1.23*C441/100</f>
        <v>0.73799999999999999</v>
      </c>
      <c r="P441" s="49">
        <f>0.05*C441/100</f>
        <v>0.03</v>
      </c>
      <c r="Q441" s="49">
        <v>2.76</v>
      </c>
      <c r="R441" s="67">
        <v>100404</v>
      </c>
      <c r="S441" s="67"/>
    </row>
    <row r="442" spans="1:19" s="63" customFormat="1" ht="31.5" x14ac:dyDescent="0.2">
      <c r="A442" s="49">
        <v>2</v>
      </c>
      <c r="B442" s="47" t="s">
        <v>33</v>
      </c>
      <c r="C442" s="41">
        <v>250</v>
      </c>
      <c r="D442" s="42">
        <f>1.9*C442/100</f>
        <v>4.75</v>
      </c>
      <c r="E442" s="42">
        <f>1.2*C442/100</f>
        <v>3</v>
      </c>
      <c r="F442" s="42">
        <f>2.75*C442/100</f>
        <v>6.875</v>
      </c>
      <c r="G442" s="42">
        <f>29.4*C442/100</f>
        <v>73.5</v>
      </c>
      <c r="H442" s="42">
        <f>0.04*C442/100</f>
        <v>0.1</v>
      </c>
      <c r="I442" s="42">
        <f>3.56*C442/100</f>
        <v>8.9</v>
      </c>
      <c r="J442" s="42">
        <f>0.01*C442/100</f>
        <v>2.5000000000000001E-2</v>
      </c>
      <c r="K442" s="42">
        <f>0.29*C442/100</f>
        <v>0.72499999999999998</v>
      </c>
      <c r="L442" s="48">
        <f>40.86*C442/100</f>
        <v>102.15</v>
      </c>
      <c r="M442" s="48">
        <f>66.16*C442/100</f>
        <v>165.4</v>
      </c>
      <c r="N442" s="48">
        <f>21.74*C442/100</f>
        <v>54.35</v>
      </c>
      <c r="O442" s="42">
        <f>0.53*C442/100</f>
        <v>1.325</v>
      </c>
      <c r="P442" s="49">
        <f>0.04*C442/100</f>
        <v>0.1</v>
      </c>
      <c r="Q442" s="49">
        <v>39.43</v>
      </c>
      <c r="R442" s="183" t="s">
        <v>242</v>
      </c>
      <c r="S442" s="67">
        <v>110315</v>
      </c>
    </row>
    <row r="443" spans="1:19" s="63" customFormat="1" x14ac:dyDescent="0.2">
      <c r="A443" s="49">
        <v>3</v>
      </c>
      <c r="B443" s="47" t="s">
        <v>230</v>
      </c>
      <c r="C443" s="41">
        <v>100</v>
      </c>
      <c r="D443" s="42">
        <f>11.4*C443/100</f>
        <v>11.4</v>
      </c>
      <c r="E443" s="42">
        <f>7.5*C443/100</f>
        <v>7.5</v>
      </c>
      <c r="F443" s="42">
        <f>14.2*C443/100</f>
        <v>14.2</v>
      </c>
      <c r="G443" s="42">
        <f>169.9*C443/100</f>
        <v>169.9</v>
      </c>
      <c r="H443" s="42">
        <v>3.5999999999999997E-2</v>
      </c>
      <c r="I443" s="42">
        <v>6.0000000000000001E-3</v>
      </c>
      <c r="J443" s="42">
        <v>0</v>
      </c>
      <c r="K443" s="42">
        <v>1.1499999999999999</v>
      </c>
      <c r="L443" s="48">
        <v>30.75</v>
      </c>
      <c r="M443" s="48">
        <v>87.3</v>
      </c>
      <c r="N443" s="48">
        <v>15.6</v>
      </c>
      <c r="O443" s="42">
        <v>0.73</v>
      </c>
      <c r="P443" s="49">
        <v>0.13</v>
      </c>
      <c r="Q443" s="49">
        <v>4.79</v>
      </c>
      <c r="R443" s="67">
        <v>120617</v>
      </c>
      <c r="S443" s="67">
        <v>120618</v>
      </c>
    </row>
    <row r="444" spans="1:19" s="63" customFormat="1" x14ac:dyDescent="0.2">
      <c r="A444" s="49">
        <v>4</v>
      </c>
      <c r="B444" s="47" t="s">
        <v>13</v>
      </c>
      <c r="C444" s="41">
        <v>30</v>
      </c>
      <c r="D444" s="60">
        <f>0.9*C444/100</f>
        <v>0.27</v>
      </c>
      <c r="E444" s="60">
        <f>4.5*C444/100</f>
        <v>1.35</v>
      </c>
      <c r="F444" s="60">
        <f>7.4*C444/100</f>
        <v>2.2200000000000002</v>
      </c>
      <c r="G444" s="60">
        <f>73.7*C444/100</f>
        <v>22.11</v>
      </c>
      <c r="H444" s="42">
        <v>8.9999999999999993E-3</v>
      </c>
      <c r="I444" s="42">
        <v>0.15</v>
      </c>
      <c r="J444" s="42">
        <v>6.0000000000000001E-3</v>
      </c>
      <c r="K444" s="42">
        <v>0.03</v>
      </c>
      <c r="L444" s="48">
        <v>46.05</v>
      </c>
      <c r="M444" s="48">
        <v>32.85</v>
      </c>
      <c r="N444" s="48">
        <v>5.0999999999999996</v>
      </c>
      <c r="O444" s="42">
        <v>0.03</v>
      </c>
      <c r="P444" s="49">
        <v>0.03</v>
      </c>
      <c r="Q444" s="49">
        <v>1.35</v>
      </c>
      <c r="R444" s="67">
        <v>140104</v>
      </c>
      <c r="S444" s="67">
        <v>140105</v>
      </c>
    </row>
    <row r="445" spans="1:19" s="64" customFormat="1" ht="18.75" customHeight="1" x14ac:dyDescent="0.25">
      <c r="A445" s="49">
        <v>5</v>
      </c>
      <c r="B445" s="47" t="s">
        <v>114</v>
      </c>
      <c r="C445" s="41">
        <v>150</v>
      </c>
      <c r="D445" s="42">
        <f>3.1*C445/100</f>
        <v>4.6500000000000004</v>
      </c>
      <c r="E445" s="42">
        <f>2.8*C445/100</f>
        <v>4.2</v>
      </c>
      <c r="F445" s="42">
        <f>30.3*C445/100</f>
        <v>45.45</v>
      </c>
      <c r="G445" s="42">
        <f>166.8*C445/100</f>
        <v>250.2</v>
      </c>
      <c r="H445" s="42">
        <f>0.04*C445/100</f>
        <v>0.06</v>
      </c>
      <c r="I445" s="42">
        <f>0*C445/100</f>
        <v>0</v>
      </c>
      <c r="J445" s="42">
        <f>0.02*C445/100</f>
        <v>0.03</v>
      </c>
      <c r="K445" s="42">
        <f>0.05*C445/100</f>
        <v>7.4999999999999997E-2</v>
      </c>
      <c r="L445" s="48">
        <f>3.95*C445/100</f>
        <v>5.9249999999999998</v>
      </c>
      <c r="M445" s="48">
        <f>23.34*C445/100</f>
        <v>35.01</v>
      </c>
      <c r="N445" s="48">
        <f>5.12*C445/100</f>
        <v>7.68</v>
      </c>
      <c r="O445" s="42">
        <f>0.5*C445/100</f>
        <v>0.75</v>
      </c>
      <c r="P445" s="49">
        <f>0.01*C445/100</f>
        <v>1.4999999999999999E-2</v>
      </c>
      <c r="Q445" s="49">
        <f>1.5*C445/100</f>
        <v>2.25</v>
      </c>
      <c r="R445" s="122">
        <v>130401</v>
      </c>
      <c r="S445" s="122">
        <v>130402</v>
      </c>
    </row>
    <row r="446" spans="1:19" s="37" customFormat="1" x14ac:dyDescent="0.2">
      <c r="A446" s="49">
        <v>6</v>
      </c>
      <c r="B446" s="47" t="s">
        <v>126</v>
      </c>
      <c r="C446" s="41">
        <v>200</v>
      </c>
      <c r="D446" s="42">
        <f>0.08*C446/100</f>
        <v>0.16</v>
      </c>
      <c r="E446" s="42">
        <f>0.06*C446/100</f>
        <v>0.12</v>
      </c>
      <c r="F446" s="42">
        <f>8*C446/100</f>
        <v>16</v>
      </c>
      <c r="G446" s="42">
        <f>23.36*C446/100</f>
        <v>46.72</v>
      </c>
      <c r="H446" s="42">
        <f>0*C446/100</f>
        <v>0</v>
      </c>
      <c r="I446" s="42">
        <f>1*C446/100</f>
        <v>2</v>
      </c>
      <c r="J446" s="42">
        <f>0*C446/100</f>
        <v>0</v>
      </c>
      <c r="K446" s="42">
        <f>0.08*C446/100</f>
        <v>0.16</v>
      </c>
      <c r="L446" s="48">
        <f>7.96*C446/100</f>
        <v>15.92</v>
      </c>
      <c r="M446" s="48">
        <f>3.2*C446/100</f>
        <v>6.4</v>
      </c>
      <c r="N446" s="48">
        <f>3.3*C446/100</f>
        <v>6.6</v>
      </c>
      <c r="O446" s="42">
        <f>0.47*C446/100</f>
        <v>0.94</v>
      </c>
      <c r="P446" s="62">
        <f>0.01*C446/100</f>
        <v>0.02</v>
      </c>
      <c r="Q446" s="62">
        <v>2.3199999999999998</v>
      </c>
      <c r="R446" s="67">
        <v>160208</v>
      </c>
      <c r="S446" s="67"/>
    </row>
    <row r="447" spans="1:19" s="63" customFormat="1" x14ac:dyDescent="0.2">
      <c r="A447" s="49">
        <v>7</v>
      </c>
      <c r="B447" s="47" t="s">
        <v>160</v>
      </c>
      <c r="C447" s="41">
        <v>40</v>
      </c>
      <c r="D447" s="42">
        <f>7.76*C447/100</f>
        <v>3.1039999999999996</v>
      </c>
      <c r="E447" s="42">
        <f>2.65*C447/100</f>
        <v>1.06</v>
      </c>
      <c r="F447" s="42">
        <f>53.25*C447/100</f>
        <v>21.3</v>
      </c>
      <c r="G447" s="42">
        <f>273*C447/100</f>
        <v>109.2</v>
      </c>
      <c r="H447" s="42">
        <f>0.34*C447/100</f>
        <v>0.13600000000000001</v>
      </c>
      <c r="I447" s="42">
        <f>0*C447/100</f>
        <v>0</v>
      </c>
      <c r="J447" s="42">
        <v>0</v>
      </c>
      <c r="K447" s="42">
        <f>1.5*C447/100</f>
        <v>0.6</v>
      </c>
      <c r="L447" s="48">
        <f>148.1*C447/100</f>
        <v>59.24</v>
      </c>
      <c r="M447" s="48">
        <f>0*C447/100</f>
        <v>0</v>
      </c>
      <c r="N447" s="48">
        <f>16*C447/100</f>
        <v>6.4</v>
      </c>
      <c r="O447" s="42">
        <f>2.4*C447/100</f>
        <v>0.96</v>
      </c>
      <c r="P447" s="56">
        <f>0.2*C447/100</f>
        <v>0.08</v>
      </c>
      <c r="Q447" s="56">
        <f>1.5*C447/100</f>
        <v>0.6</v>
      </c>
      <c r="R447" s="67">
        <v>200102</v>
      </c>
      <c r="S447" s="67"/>
    </row>
    <row r="448" spans="1:19" s="63" customFormat="1" x14ac:dyDescent="0.2">
      <c r="A448" s="49">
        <v>8</v>
      </c>
      <c r="B448" s="47" t="s">
        <v>159</v>
      </c>
      <c r="C448" s="41">
        <v>20</v>
      </c>
      <c r="D448" s="42">
        <f>5.86*C448/100</f>
        <v>1.1719999999999999</v>
      </c>
      <c r="E448" s="42">
        <f>0.94*C448/100</f>
        <v>0.18799999999999997</v>
      </c>
      <c r="F448" s="42">
        <f>44.4*C448/100</f>
        <v>8.8800000000000008</v>
      </c>
      <c r="G448" s="42">
        <f>189*C448/100</f>
        <v>37.799999999999997</v>
      </c>
      <c r="H448" s="42">
        <f>0.4*C448/100</f>
        <v>0.08</v>
      </c>
      <c r="I448" s="42">
        <f>0.03*C448/100</f>
        <v>6.0000000000000001E-3</v>
      </c>
      <c r="J448" s="42">
        <v>0</v>
      </c>
      <c r="K448" s="42">
        <f>1.7*C448/100</f>
        <v>0.34</v>
      </c>
      <c r="L448" s="48">
        <f>25.4*C448/100</f>
        <v>5.08</v>
      </c>
      <c r="M448" s="48">
        <f>105.53*C448/100</f>
        <v>21.105999999999998</v>
      </c>
      <c r="N448" s="48">
        <f>36.5*C448/100</f>
        <v>7.3</v>
      </c>
      <c r="O448" s="42">
        <f>2.45*C448/100</f>
        <v>0.49</v>
      </c>
      <c r="P448" s="56">
        <f>0.2*C448/100</f>
        <v>0.04</v>
      </c>
      <c r="Q448" s="56">
        <f>10*C448/100</f>
        <v>2</v>
      </c>
      <c r="R448" s="67">
        <v>200103</v>
      </c>
      <c r="S448" s="67"/>
    </row>
    <row r="449" spans="1:19" s="4" customFormat="1" x14ac:dyDescent="0.25">
      <c r="A449" s="49"/>
      <c r="B449" s="218" t="s">
        <v>4</v>
      </c>
      <c r="C449" s="120"/>
      <c r="D449" s="170">
        <f t="shared" ref="D449:Q449" si="78">SUM(D441:D448)</f>
        <v>27.456000000000003</v>
      </c>
      <c r="E449" s="170">
        <f t="shared" si="78"/>
        <v>20.064</v>
      </c>
      <c r="F449" s="170">
        <f t="shared" si="78"/>
        <v>119.761</v>
      </c>
      <c r="G449" s="170">
        <f t="shared" si="78"/>
        <v>760.16600000000005</v>
      </c>
      <c r="H449" s="170">
        <f t="shared" si="78"/>
        <v>0.433</v>
      </c>
      <c r="I449" s="170">
        <f t="shared" si="78"/>
        <v>14.626000000000001</v>
      </c>
      <c r="J449" s="170">
        <f t="shared" si="78"/>
        <v>6.0999999999999999E-2</v>
      </c>
      <c r="K449" s="170">
        <f t="shared" si="78"/>
        <v>3.1520000000000001</v>
      </c>
      <c r="L449" s="170">
        <f t="shared" si="78"/>
        <v>325.76300000000003</v>
      </c>
      <c r="M449" s="170">
        <f t="shared" si="78"/>
        <v>396.61799999999999</v>
      </c>
      <c r="N449" s="170">
        <f t="shared" si="78"/>
        <v>116.008</v>
      </c>
      <c r="O449" s="170">
        <f t="shared" si="78"/>
        <v>5.9630000000000001</v>
      </c>
      <c r="P449" s="170">
        <f t="shared" si="78"/>
        <v>0.44500000000000006</v>
      </c>
      <c r="Q449" s="170">
        <f t="shared" si="78"/>
        <v>55.5</v>
      </c>
      <c r="R449" s="122"/>
      <c r="S449" s="122"/>
    </row>
    <row r="450" spans="1:19" s="4" customFormat="1" ht="18.75" customHeight="1" x14ac:dyDescent="0.25">
      <c r="A450" s="314" t="s">
        <v>35</v>
      </c>
      <c r="B450" s="315"/>
      <c r="C450" s="315"/>
      <c r="D450" s="315"/>
      <c r="E450" s="315"/>
      <c r="F450" s="315"/>
      <c r="G450" s="315"/>
      <c r="H450" s="315"/>
      <c r="I450" s="315"/>
      <c r="J450" s="315"/>
      <c r="K450" s="315"/>
      <c r="L450" s="315"/>
      <c r="M450" s="315"/>
      <c r="N450" s="315"/>
      <c r="O450" s="315"/>
      <c r="P450" s="315"/>
      <c r="Q450" s="315"/>
      <c r="R450" s="315"/>
      <c r="S450" s="343"/>
    </row>
    <row r="451" spans="1:19" s="63" customFormat="1" ht="37.5" x14ac:dyDescent="0.2">
      <c r="A451" s="230">
        <v>1</v>
      </c>
      <c r="B451" s="47" t="s">
        <v>251</v>
      </c>
      <c r="C451" s="41">
        <v>50</v>
      </c>
      <c r="D451" s="42">
        <f>9.9*C451/100</f>
        <v>4.95</v>
      </c>
      <c r="E451" s="42">
        <f>5.3*C451/100</f>
        <v>2.65</v>
      </c>
      <c r="F451" s="42">
        <f>55*C451/100</f>
        <v>27.5</v>
      </c>
      <c r="G451" s="43">
        <f>308*C451/100</f>
        <v>154</v>
      </c>
      <c r="H451" s="44">
        <f>0.34*C451/100</f>
        <v>0.17</v>
      </c>
      <c r="I451" s="42">
        <f>0*C451/100</f>
        <v>0</v>
      </c>
      <c r="J451" s="42">
        <v>0</v>
      </c>
      <c r="K451" s="42">
        <f>1.5*C451/100</f>
        <v>0.75</v>
      </c>
      <c r="L451" s="48">
        <f>148.1*C451/100</f>
        <v>74.05</v>
      </c>
      <c r="M451" s="48">
        <f>0*C451/100</f>
        <v>0</v>
      </c>
      <c r="N451" s="48">
        <f>16*C451/100</f>
        <v>8</v>
      </c>
      <c r="O451" s="42">
        <f>2.4*C451/100</f>
        <v>1.2</v>
      </c>
      <c r="P451" s="56">
        <f>0.2*C451/100</f>
        <v>0.1</v>
      </c>
      <c r="Q451" s="56">
        <v>0</v>
      </c>
      <c r="R451" s="183" t="s">
        <v>252</v>
      </c>
      <c r="S451" s="51">
        <v>190215</v>
      </c>
    </row>
    <row r="452" spans="1:19" s="63" customFormat="1" x14ac:dyDescent="0.2">
      <c r="A452" s="49">
        <v>2</v>
      </c>
      <c r="B452" s="47" t="s">
        <v>233</v>
      </c>
      <c r="C452" s="41">
        <v>200</v>
      </c>
      <c r="D452" s="171">
        <f>0*C452/100</f>
        <v>0</v>
      </c>
      <c r="E452" s="171">
        <f>0*C452/100</f>
        <v>0</v>
      </c>
      <c r="F452" s="171">
        <f>0*C452/100</f>
        <v>0</v>
      </c>
      <c r="G452" s="171">
        <f>17*C452/100</f>
        <v>34</v>
      </c>
      <c r="H452" s="42">
        <v>0</v>
      </c>
      <c r="I452" s="42">
        <v>0</v>
      </c>
      <c r="J452" s="42">
        <v>0</v>
      </c>
      <c r="K452" s="42">
        <v>0</v>
      </c>
      <c r="L452" s="48">
        <v>4.8600000000000003</v>
      </c>
      <c r="M452" s="48">
        <v>0</v>
      </c>
      <c r="N452" s="48">
        <v>1.08</v>
      </c>
      <c r="O452" s="42">
        <v>0</v>
      </c>
      <c r="P452" s="49">
        <v>0</v>
      </c>
      <c r="Q452" s="49">
        <v>0</v>
      </c>
      <c r="R452" s="67">
        <v>160107</v>
      </c>
      <c r="S452" s="67"/>
    </row>
    <row r="453" spans="1:19" s="63" customFormat="1" x14ac:dyDescent="0.3">
      <c r="A453" s="49">
        <v>3</v>
      </c>
      <c r="B453" s="47" t="s">
        <v>140</v>
      </c>
      <c r="C453" s="41">
        <v>10</v>
      </c>
      <c r="D453" s="171">
        <f>0*C453/100</f>
        <v>0</v>
      </c>
      <c r="E453" s="171">
        <f>0*C453/100</f>
        <v>0</v>
      </c>
      <c r="F453" s="171">
        <f>99.8*C453/100</f>
        <v>9.98</v>
      </c>
      <c r="G453" s="171">
        <f>374.3*C453/100</f>
        <v>37.43</v>
      </c>
      <c r="H453" s="42">
        <v>0</v>
      </c>
      <c r="I453" s="42">
        <v>0</v>
      </c>
      <c r="J453" s="42">
        <v>0</v>
      </c>
      <c r="K453" s="42">
        <v>0</v>
      </c>
      <c r="L453" s="42">
        <v>0.2</v>
      </c>
      <c r="M453" s="42">
        <v>0</v>
      </c>
      <c r="N453" s="42">
        <v>0</v>
      </c>
      <c r="O453" s="42">
        <v>0.03</v>
      </c>
      <c r="P453" s="55">
        <v>0</v>
      </c>
      <c r="Q453" s="55">
        <v>0</v>
      </c>
      <c r="R453" s="67"/>
      <c r="S453" s="67"/>
    </row>
    <row r="454" spans="1:19" s="4" customFormat="1" ht="18.75" customHeight="1" x14ac:dyDescent="0.25">
      <c r="A454" s="49"/>
      <c r="B454" s="219" t="s">
        <v>4</v>
      </c>
      <c r="C454" s="109"/>
      <c r="D454" s="172">
        <f t="shared" ref="D454:Q454" si="79">SUM(D451:D453)</f>
        <v>4.95</v>
      </c>
      <c r="E454" s="172">
        <f t="shared" si="79"/>
        <v>2.65</v>
      </c>
      <c r="F454" s="172">
        <f t="shared" si="79"/>
        <v>37.480000000000004</v>
      </c>
      <c r="G454" s="172">
        <f t="shared" si="79"/>
        <v>225.43</v>
      </c>
      <c r="H454" s="172">
        <f t="shared" si="79"/>
        <v>0.17</v>
      </c>
      <c r="I454" s="172">
        <f t="shared" si="79"/>
        <v>0</v>
      </c>
      <c r="J454" s="172">
        <f t="shared" si="79"/>
        <v>0</v>
      </c>
      <c r="K454" s="172">
        <f t="shared" si="79"/>
        <v>0.75</v>
      </c>
      <c r="L454" s="172">
        <f t="shared" si="79"/>
        <v>79.11</v>
      </c>
      <c r="M454" s="172">
        <f t="shared" si="79"/>
        <v>0</v>
      </c>
      <c r="N454" s="172">
        <f t="shared" si="79"/>
        <v>9.08</v>
      </c>
      <c r="O454" s="172">
        <f t="shared" si="79"/>
        <v>1.23</v>
      </c>
      <c r="P454" s="170">
        <f t="shared" si="79"/>
        <v>0.1</v>
      </c>
      <c r="Q454" s="170">
        <f t="shared" si="79"/>
        <v>0</v>
      </c>
      <c r="R454" s="122"/>
      <c r="S454" s="122"/>
    </row>
    <row r="455" spans="1:19" s="4" customFormat="1" ht="19.5" thickBot="1" x14ac:dyDescent="0.3">
      <c r="A455" s="194"/>
      <c r="B455" s="195" t="s">
        <v>7</v>
      </c>
      <c r="C455" s="196"/>
      <c r="D455" s="174">
        <f t="shared" ref="D455:Q455" si="80">D439+D449+D454</f>
        <v>49.338000000000008</v>
      </c>
      <c r="E455" s="174">
        <f t="shared" si="80"/>
        <v>49.021999999999998</v>
      </c>
      <c r="F455" s="174">
        <f t="shared" si="80"/>
        <v>207.125</v>
      </c>
      <c r="G455" s="175">
        <f t="shared" si="80"/>
        <v>1497.376</v>
      </c>
      <c r="H455" s="197">
        <f t="shared" si="80"/>
        <v>0.7994</v>
      </c>
      <c r="I455" s="174">
        <f t="shared" si="80"/>
        <v>206.851</v>
      </c>
      <c r="J455" s="174">
        <f t="shared" si="80"/>
        <v>9.0999999999999998E-2</v>
      </c>
      <c r="K455" s="174">
        <f t="shared" si="80"/>
        <v>5.0570000000000004</v>
      </c>
      <c r="L455" s="174">
        <f t="shared" si="80"/>
        <v>591.64800000000002</v>
      </c>
      <c r="M455" s="174">
        <f t="shared" si="80"/>
        <v>482.90300000000002</v>
      </c>
      <c r="N455" s="174">
        <f t="shared" si="80"/>
        <v>184.86799999999999</v>
      </c>
      <c r="O455" s="198">
        <f t="shared" si="80"/>
        <v>10.813000000000001</v>
      </c>
      <c r="P455" s="198">
        <f t="shared" si="80"/>
        <v>0.7782</v>
      </c>
      <c r="Q455" s="198">
        <f t="shared" si="80"/>
        <v>77.75</v>
      </c>
      <c r="R455" s="199"/>
      <c r="S455" s="200"/>
    </row>
    <row r="456" spans="1:19" s="4" customFormat="1" ht="19.5" customHeight="1" thickBot="1" x14ac:dyDescent="0.3">
      <c r="A456" s="358" t="s">
        <v>59</v>
      </c>
      <c r="B456" s="359"/>
      <c r="C456" s="359"/>
      <c r="D456" s="359"/>
      <c r="E456" s="359"/>
      <c r="F456" s="359"/>
      <c r="G456" s="359"/>
      <c r="H456" s="359"/>
      <c r="I456" s="359"/>
      <c r="J456" s="359"/>
      <c r="K456" s="359"/>
      <c r="L456" s="359"/>
      <c r="M456" s="359"/>
      <c r="N456" s="359"/>
      <c r="O456" s="359"/>
      <c r="P456" s="359"/>
      <c r="Q456" s="359"/>
      <c r="R456" s="359"/>
      <c r="S456" s="360"/>
    </row>
    <row r="457" spans="1:19" s="4" customFormat="1" ht="19.5" customHeight="1" x14ac:dyDescent="0.25">
      <c r="A457" s="300" t="s">
        <v>3</v>
      </c>
      <c r="B457" s="301"/>
      <c r="C457" s="301"/>
      <c r="D457" s="301"/>
      <c r="E457" s="301"/>
      <c r="F457" s="301"/>
      <c r="G457" s="301"/>
      <c r="H457" s="301"/>
      <c r="I457" s="301"/>
      <c r="J457" s="301"/>
      <c r="K457" s="301"/>
      <c r="L457" s="301"/>
      <c r="M457" s="301"/>
      <c r="N457" s="301"/>
      <c r="O457" s="301"/>
      <c r="P457" s="301"/>
      <c r="Q457" s="301"/>
      <c r="R457" s="301"/>
      <c r="S457" s="347"/>
    </row>
    <row r="458" spans="1:19" s="63" customFormat="1" x14ac:dyDescent="0.2">
      <c r="A458" s="49">
        <v>1</v>
      </c>
      <c r="B458" s="47" t="s">
        <v>14</v>
      </c>
      <c r="C458" s="41">
        <v>150</v>
      </c>
      <c r="D458" s="176">
        <f>14.2*C458/100</f>
        <v>21.3</v>
      </c>
      <c r="E458" s="176">
        <f>9.6*C458/100</f>
        <v>14.4</v>
      </c>
      <c r="F458" s="176">
        <f>14.4*C458/100</f>
        <v>21.6</v>
      </c>
      <c r="G458" s="176">
        <f>200.8*C458/100</f>
        <v>301.2</v>
      </c>
      <c r="H458" s="42">
        <f>0.06*C458/100</f>
        <v>0.09</v>
      </c>
      <c r="I458" s="42">
        <f>0.22*C458/100</f>
        <v>0.33</v>
      </c>
      <c r="J458" s="42">
        <f>0.07*C458/100</f>
        <v>0.10500000000000002</v>
      </c>
      <c r="K458" s="42">
        <f>0.44*C458/100</f>
        <v>0.66</v>
      </c>
      <c r="L458" s="48">
        <f>140.96*C458/100</f>
        <v>211.44</v>
      </c>
      <c r="M458" s="48">
        <f>205.55*C458/100</f>
        <v>308.32499999999999</v>
      </c>
      <c r="N458" s="48">
        <f>20.84*C458/100</f>
        <v>31.26</v>
      </c>
      <c r="O458" s="42">
        <f>0.66*C458/100</f>
        <v>0.99</v>
      </c>
      <c r="P458" s="49">
        <f>0.25*C458/100</f>
        <v>0.375</v>
      </c>
      <c r="Q458" s="49">
        <f>1.61*C458/100</f>
        <v>2.4150000000000005</v>
      </c>
      <c r="R458" s="67">
        <v>120313</v>
      </c>
      <c r="S458" s="67">
        <v>120314</v>
      </c>
    </row>
    <row r="459" spans="1:19" s="63" customFormat="1" x14ac:dyDescent="0.2">
      <c r="A459" s="49">
        <v>2</v>
      </c>
      <c r="B459" s="47" t="s">
        <v>184</v>
      </c>
      <c r="C459" s="41">
        <v>20</v>
      </c>
      <c r="D459" s="176">
        <f>0.6*C459/100</f>
        <v>0.12</v>
      </c>
      <c r="E459" s="176">
        <v>0</v>
      </c>
      <c r="F459" s="176">
        <f>33*C459/100</f>
        <v>6.6</v>
      </c>
      <c r="G459" s="176">
        <f>134.4*C459/100</f>
        <v>26.88</v>
      </c>
      <c r="H459" s="42">
        <f>0.05*C459/100</f>
        <v>0.01</v>
      </c>
      <c r="I459" s="42">
        <f>0.36*C459/100</f>
        <v>7.1999999999999995E-2</v>
      </c>
      <c r="J459" s="42">
        <f>0.07*C459/100</f>
        <v>1.4000000000000002E-2</v>
      </c>
      <c r="K459" s="42">
        <f>1.52*C459/100</f>
        <v>0.30399999999999999</v>
      </c>
      <c r="L459" s="48">
        <f>126.98*C459/100</f>
        <v>25.396000000000001</v>
      </c>
      <c r="M459" s="48">
        <f>181.58*C459/100</f>
        <v>36.316000000000003</v>
      </c>
      <c r="N459" s="48">
        <f>19.59*C459/100</f>
        <v>3.9180000000000001</v>
      </c>
      <c r="O459" s="42">
        <f>0.6*C459/100</f>
        <v>0.12</v>
      </c>
      <c r="P459" s="49">
        <v>0.25</v>
      </c>
      <c r="Q459" s="49">
        <v>0.48</v>
      </c>
      <c r="R459" s="67"/>
      <c r="S459" s="233">
        <v>140205</v>
      </c>
    </row>
    <row r="460" spans="1:19" s="63" customFormat="1" x14ac:dyDescent="0.2">
      <c r="A460" s="49">
        <v>3</v>
      </c>
      <c r="B460" s="47" t="s">
        <v>163</v>
      </c>
      <c r="C460" s="41">
        <v>200</v>
      </c>
      <c r="D460" s="60">
        <f>3.05*C460/100</f>
        <v>6.1</v>
      </c>
      <c r="E460" s="60">
        <f>3.11*C460/100</f>
        <v>6.22</v>
      </c>
      <c r="F460" s="60">
        <f>9.83*C460/100</f>
        <v>19.66</v>
      </c>
      <c r="G460" s="60">
        <f>79.2*C460/100</f>
        <v>158.4</v>
      </c>
      <c r="H460" s="42">
        <f>0.26*C460/100</f>
        <v>0.52</v>
      </c>
      <c r="I460" s="42">
        <f>14.61*C460/100</f>
        <v>29.22</v>
      </c>
      <c r="J460" s="42">
        <f>0.4*C460/100</f>
        <v>0.8</v>
      </c>
      <c r="K460" s="42">
        <v>0</v>
      </c>
      <c r="L460" s="48">
        <f>24.96*C460/100</f>
        <v>49.92</v>
      </c>
      <c r="M460" s="48">
        <v>0</v>
      </c>
      <c r="N460" s="48">
        <f>0.1*C460/100</f>
        <v>0.2</v>
      </c>
      <c r="O460" s="42">
        <v>0</v>
      </c>
      <c r="P460" s="49">
        <v>0.14000000000000001</v>
      </c>
      <c r="Q460" s="49">
        <v>7.68</v>
      </c>
      <c r="R460" s="181">
        <v>160101</v>
      </c>
      <c r="S460" s="67">
        <v>160102</v>
      </c>
    </row>
    <row r="461" spans="1:19" s="63" customFormat="1" x14ac:dyDescent="0.2">
      <c r="A461" s="49">
        <v>4</v>
      </c>
      <c r="B461" s="47" t="s">
        <v>160</v>
      </c>
      <c r="C461" s="41">
        <v>20</v>
      </c>
      <c r="D461" s="42">
        <f>7.76*C461/100</f>
        <v>1.5519999999999998</v>
      </c>
      <c r="E461" s="42">
        <f>2.65*C461/100</f>
        <v>0.53</v>
      </c>
      <c r="F461" s="42">
        <f>53.25*C461/100</f>
        <v>10.65</v>
      </c>
      <c r="G461" s="42">
        <f>273*C461/100</f>
        <v>54.6</v>
      </c>
      <c r="H461" s="42">
        <f>0.34*C461/100</f>
        <v>6.8000000000000005E-2</v>
      </c>
      <c r="I461" s="42">
        <f>0*C461/100</f>
        <v>0</v>
      </c>
      <c r="J461" s="42">
        <v>0</v>
      </c>
      <c r="K461" s="42">
        <f>1.5*C461/100</f>
        <v>0.3</v>
      </c>
      <c r="L461" s="48">
        <f>148.1*C461/100</f>
        <v>29.62</v>
      </c>
      <c r="M461" s="48">
        <f>0*C461/100</f>
        <v>0</v>
      </c>
      <c r="N461" s="48">
        <f>16*C461/100</f>
        <v>3.2</v>
      </c>
      <c r="O461" s="42">
        <f>2.4*C461/100</f>
        <v>0.48</v>
      </c>
      <c r="P461" s="56">
        <f>0.2*C461/100</f>
        <v>0.04</v>
      </c>
      <c r="Q461" s="56">
        <f>1.5*C461/100</f>
        <v>0.3</v>
      </c>
      <c r="R461" s="67">
        <v>200102</v>
      </c>
      <c r="S461" s="67"/>
    </row>
    <row r="462" spans="1:19" s="63" customFormat="1" ht="37.5" x14ac:dyDescent="0.2">
      <c r="A462" s="49">
        <v>5</v>
      </c>
      <c r="B462" s="47" t="s">
        <v>164</v>
      </c>
      <c r="C462" s="41">
        <v>10</v>
      </c>
      <c r="D462" s="42">
        <f>0.5*C462/100</f>
        <v>0.05</v>
      </c>
      <c r="E462" s="42">
        <f>82.5*C462/100</f>
        <v>8.25</v>
      </c>
      <c r="F462" s="42">
        <f>0.8*C462/100</f>
        <v>0.08</v>
      </c>
      <c r="G462" s="42">
        <f>748*C462/100</f>
        <v>74.8</v>
      </c>
      <c r="H462" s="42">
        <v>0</v>
      </c>
      <c r="I462" s="42">
        <v>0</v>
      </c>
      <c r="J462" s="42">
        <f>0.4*C462/100</f>
        <v>0.04</v>
      </c>
      <c r="K462" s="42">
        <f>1*C462/100</f>
        <v>0.1</v>
      </c>
      <c r="L462" s="48">
        <f>12*C462/100</f>
        <v>1.2</v>
      </c>
      <c r="M462" s="48">
        <f>19*C462/100</f>
        <v>1.9</v>
      </c>
      <c r="N462" s="48">
        <f>0*C462/100</f>
        <v>0</v>
      </c>
      <c r="O462" s="42">
        <f>0.2*C462/100</f>
        <v>0.02</v>
      </c>
      <c r="P462" s="56">
        <f>0.1*C462/100</f>
        <v>0.01</v>
      </c>
      <c r="Q462" s="49">
        <v>0</v>
      </c>
      <c r="R462" s="67"/>
      <c r="S462" s="67"/>
    </row>
    <row r="463" spans="1:19" s="4" customFormat="1" x14ac:dyDescent="0.25">
      <c r="A463" s="49"/>
      <c r="B463" s="218" t="s">
        <v>4</v>
      </c>
      <c r="C463" s="120"/>
      <c r="D463" s="172">
        <f t="shared" ref="D463:Q463" si="81">SUM(D458:D462)</f>
        <v>29.122000000000003</v>
      </c>
      <c r="E463" s="172">
        <f t="shared" si="81"/>
        <v>29.400000000000002</v>
      </c>
      <c r="F463" s="172">
        <f t="shared" si="81"/>
        <v>58.589999999999996</v>
      </c>
      <c r="G463" s="172">
        <f t="shared" si="81"/>
        <v>615.88</v>
      </c>
      <c r="H463" s="172">
        <f t="shared" si="81"/>
        <v>0.68799999999999994</v>
      </c>
      <c r="I463" s="172">
        <f t="shared" si="81"/>
        <v>29.622</v>
      </c>
      <c r="J463" s="172">
        <f t="shared" si="81"/>
        <v>0.95900000000000007</v>
      </c>
      <c r="K463" s="172">
        <f t="shared" si="81"/>
        <v>1.3640000000000001</v>
      </c>
      <c r="L463" s="172">
        <f t="shared" si="81"/>
        <v>317.57600000000002</v>
      </c>
      <c r="M463" s="172">
        <f t="shared" si="81"/>
        <v>346.54099999999994</v>
      </c>
      <c r="N463" s="172">
        <f t="shared" si="81"/>
        <v>38.57800000000001</v>
      </c>
      <c r="O463" s="172">
        <f t="shared" si="81"/>
        <v>1.6099999999999999</v>
      </c>
      <c r="P463" s="170">
        <f t="shared" si="81"/>
        <v>0.81500000000000006</v>
      </c>
      <c r="Q463" s="170">
        <f t="shared" si="81"/>
        <v>10.875</v>
      </c>
      <c r="R463" s="122"/>
      <c r="S463" s="122"/>
    </row>
    <row r="464" spans="1:19" s="4" customFormat="1" ht="19.5" customHeight="1" x14ac:dyDescent="0.25">
      <c r="A464" s="117"/>
      <c r="B464" s="301" t="s">
        <v>5</v>
      </c>
      <c r="C464" s="301"/>
      <c r="D464" s="301"/>
      <c r="E464" s="301"/>
      <c r="F464" s="301"/>
      <c r="G464" s="301"/>
      <c r="H464" s="301"/>
      <c r="I464" s="301"/>
      <c r="J464" s="301"/>
      <c r="K464" s="301"/>
      <c r="L464" s="301"/>
      <c r="M464" s="301"/>
      <c r="N464" s="301"/>
      <c r="O464" s="301"/>
      <c r="P464" s="301"/>
      <c r="Q464" s="301"/>
      <c r="R464" s="301"/>
      <c r="S464" s="347"/>
    </row>
    <row r="465" spans="1:19" s="63" customFormat="1" ht="37.5" x14ac:dyDescent="0.2">
      <c r="A465" s="49">
        <v>1</v>
      </c>
      <c r="B465" s="47" t="s">
        <v>125</v>
      </c>
      <c r="C465" s="41">
        <v>60</v>
      </c>
      <c r="D465" s="42">
        <f>1.18*C465/100</f>
        <v>0.70799999999999996</v>
      </c>
      <c r="E465" s="42">
        <f>7.08*C465/100</f>
        <v>4.2480000000000002</v>
      </c>
      <c r="F465" s="42">
        <f>9.27*C465/100</f>
        <v>5.5619999999999994</v>
      </c>
      <c r="G465" s="42">
        <f>106.75*C465/100</f>
        <v>64.05</v>
      </c>
      <c r="H465" s="42">
        <f>C465*0.05/100</f>
        <v>0.03</v>
      </c>
      <c r="I465" s="42">
        <f>C465*3.18/100</f>
        <v>1.9080000000000001</v>
      </c>
      <c r="J465" s="42">
        <f>C465*7.86/100000</f>
        <v>4.7160000000000006E-3</v>
      </c>
      <c r="K465" s="42">
        <f>C465*1.56/100</f>
        <v>0.93600000000000005</v>
      </c>
      <c r="L465" s="48">
        <f>C465*24.66/100</f>
        <v>14.795999999999999</v>
      </c>
      <c r="M465" s="48">
        <f>C465*50.19/100</f>
        <v>30.113999999999997</v>
      </c>
      <c r="N465" s="48">
        <f>C465*34.58/100</f>
        <v>20.747999999999998</v>
      </c>
      <c r="O465" s="42">
        <f>C465*0.65/100</f>
        <v>0.39</v>
      </c>
      <c r="P465" s="49">
        <f>0.06*C465/100</f>
        <v>3.5999999999999997E-2</v>
      </c>
      <c r="Q465" s="49">
        <v>2.62</v>
      </c>
      <c r="R465" s="67">
        <v>100302</v>
      </c>
      <c r="S465" s="67"/>
    </row>
    <row r="466" spans="1:19" s="63" customFormat="1" x14ac:dyDescent="0.2">
      <c r="A466" s="49">
        <v>2</v>
      </c>
      <c r="B466" s="47" t="s">
        <v>171</v>
      </c>
      <c r="C466" s="41">
        <v>250</v>
      </c>
      <c r="D466" s="42">
        <f>1.2*C466/100</f>
        <v>3</v>
      </c>
      <c r="E466" s="42">
        <f>2.8*C466/100</f>
        <v>7</v>
      </c>
      <c r="F466" s="42">
        <f>1.3*C466/100</f>
        <v>3.25</v>
      </c>
      <c r="G466" s="42">
        <f>35.2*C466/100</f>
        <v>88</v>
      </c>
      <c r="H466" s="42">
        <f>0.02*C466/100</f>
        <v>0.05</v>
      </c>
      <c r="I466" s="42">
        <f>9.19*C466/100</f>
        <v>22.975000000000001</v>
      </c>
      <c r="J466" s="42">
        <v>0.08</v>
      </c>
      <c r="K466" s="42">
        <f>0.71*C466/100</f>
        <v>1.7749999999999999</v>
      </c>
      <c r="L466" s="48">
        <f>12.56*C466/100</f>
        <v>31.4</v>
      </c>
      <c r="M466" s="48">
        <f>13.73*C466/100</f>
        <v>34.325000000000003</v>
      </c>
      <c r="N466" s="48">
        <f>6.59*C466/100</f>
        <v>16.475000000000001</v>
      </c>
      <c r="O466" s="42">
        <f>0.25*C466/100</f>
        <v>0.625</v>
      </c>
      <c r="P466" s="49">
        <v>0.03</v>
      </c>
      <c r="Q466" s="49">
        <v>2.9</v>
      </c>
      <c r="R466" s="67">
        <v>110205</v>
      </c>
      <c r="S466" s="67">
        <v>110206</v>
      </c>
    </row>
    <row r="467" spans="1:19" s="63" customFormat="1" x14ac:dyDescent="0.2">
      <c r="A467" s="49">
        <v>3</v>
      </c>
      <c r="B467" s="47" t="s">
        <v>20</v>
      </c>
      <c r="C467" s="41">
        <v>100</v>
      </c>
      <c r="D467" s="42">
        <f>10.7*C467/100</f>
        <v>10.7</v>
      </c>
      <c r="E467" s="42">
        <f>7.3*C467/100</f>
        <v>7.3</v>
      </c>
      <c r="F467" s="42">
        <f>5.9*C467/100</f>
        <v>5.9</v>
      </c>
      <c r="G467" s="42">
        <f>132.1*C467/100</f>
        <v>132.1</v>
      </c>
      <c r="H467" s="42">
        <f>0.15*C467/100</f>
        <v>0.15</v>
      </c>
      <c r="I467" s="42">
        <f>1.73*C467/100</f>
        <v>1.73</v>
      </c>
      <c r="J467" s="42">
        <f>0.03*C467/100</f>
        <v>0.03</v>
      </c>
      <c r="K467" s="42">
        <f>0.18*C467/100</f>
        <v>0.18</v>
      </c>
      <c r="L467" s="48">
        <f>25.88*C467/100</f>
        <v>25.88</v>
      </c>
      <c r="M467" s="48">
        <f>169.5*C467/100</f>
        <v>169.5</v>
      </c>
      <c r="N467" s="48">
        <f>25.52*C467/100</f>
        <v>25.52</v>
      </c>
      <c r="O467" s="42">
        <f>1.55*C467/100</f>
        <v>1.55</v>
      </c>
      <c r="P467" s="49">
        <f>0.17*C467/100</f>
        <v>0.17</v>
      </c>
      <c r="Q467" s="49">
        <v>3.68</v>
      </c>
      <c r="R467" s="67">
        <v>120505</v>
      </c>
      <c r="S467" s="177">
        <v>120506</v>
      </c>
    </row>
    <row r="468" spans="1:19" s="63" customFormat="1" x14ac:dyDescent="0.2">
      <c r="A468" s="49">
        <v>4</v>
      </c>
      <c r="B468" s="47" t="s">
        <v>8</v>
      </c>
      <c r="C468" s="41">
        <v>150</v>
      </c>
      <c r="D468" s="42">
        <f>2.225*C468/100</f>
        <v>3.3374999999999999</v>
      </c>
      <c r="E468" s="42">
        <f>7.525*C468/100</f>
        <v>11.2875</v>
      </c>
      <c r="F468" s="42">
        <f>25.84*C468/100</f>
        <v>38.76</v>
      </c>
      <c r="G468" s="42">
        <f>180*C468/100</f>
        <v>270</v>
      </c>
      <c r="H468" s="42">
        <f>0.02*C468/100</f>
        <v>0.03</v>
      </c>
      <c r="I468" s="42">
        <f>0*C468/100</f>
        <v>0</v>
      </c>
      <c r="J468" s="42">
        <f>0.04*C468/100</f>
        <v>0.06</v>
      </c>
      <c r="K468" s="42">
        <f>0.1*C468/100</f>
        <v>0.15</v>
      </c>
      <c r="L468" s="48">
        <f>1.38*C468/100</f>
        <v>2.0699999999999998</v>
      </c>
      <c r="M468" s="48">
        <f>40.5*C468/100</f>
        <v>60.75</v>
      </c>
      <c r="N468" s="48">
        <f>12.43*C468/100</f>
        <v>18.645</v>
      </c>
      <c r="O468" s="42">
        <f>0.35*C468/100</f>
        <v>0.52500000000000002</v>
      </c>
      <c r="P468" s="49">
        <f>0.015*C468/100</f>
        <v>2.2499999999999999E-2</v>
      </c>
      <c r="Q468" s="49">
        <v>0</v>
      </c>
      <c r="R468" s="67">
        <v>130301</v>
      </c>
      <c r="S468" s="67">
        <v>130302</v>
      </c>
    </row>
    <row r="469" spans="1:19" s="37" customFormat="1" x14ac:dyDescent="0.2">
      <c r="A469" s="49">
        <v>5</v>
      </c>
      <c r="B469" s="47" t="s">
        <v>138</v>
      </c>
      <c r="C469" s="41">
        <v>200</v>
      </c>
      <c r="D469" s="42">
        <f>0.08*C469/100</f>
        <v>0.16</v>
      </c>
      <c r="E469" s="42">
        <f>0.08*C469/100</f>
        <v>0.16</v>
      </c>
      <c r="F469" s="42">
        <f>7.9*C469/100</f>
        <v>15.8</v>
      </c>
      <c r="G469" s="42">
        <f>23.36*C469/100</f>
        <v>46.72</v>
      </c>
      <c r="H469" s="42">
        <f>0.13*C469/100</f>
        <v>0.26</v>
      </c>
      <c r="I469" s="42">
        <f>10.15*C469/100</f>
        <v>20.3</v>
      </c>
      <c r="J469" s="42">
        <f>0.05*C469/100</f>
        <v>0.1</v>
      </c>
      <c r="K469" s="42">
        <f>1.04*C469/100</f>
        <v>2.08</v>
      </c>
      <c r="L469" s="48">
        <f>7.36*C469/100</f>
        <v>14.72</v>
      </c>
      <c r="M469" s="48">
        <f>2.2*C469/100</f>
        <v>4.4000000000000004</v>
      </c>
      <c r="N469" s="48">
        <f>2.7*C469/100</f>
        <v>5.4</v>
      </c>
      <c r="O469" s="42">
        <f>0.45*C469/100</f>
        <v>0.9</v>
      </c>
      <c r="P469" s="62">
        <f>0.13*C469/100</f>
        <v>0.26</v>
      </c>
      <c r="Q469" s="62">
        <v>2.3199999999999998</v>
      </c>
      <c r="R469" s="67">
        <v>160209</v>
      </c>
      <c r="S469" s="67"/>
    </row>
    <row r="470" spans="1:19" s="63" customFormat="1" x14ac:dyDescent="0.2">
      <c r="A470" s="49">
        <v>6</v>
      </c>
      <c r="B470" s="47" t="s">
        <v>160</v>
      </c>
      <c r="C470" s="41">
        <v>40</v>
      </c>
      <c r="D470" s="42">
        <f>7.76*C470/100</f>
        <v>3.1039999999999996</v>
      </c>
      <c r="E470" s="42">
        <f>2.65*C470/100</f>
        <v>1.06</v>
      </c>
      <c r="F470" s="42">
        <f>53.25*C470/100</f>
        <v>21.3</v>
      </c>
      <c r="G470" s="42">
        <f>273*C470/100</f>
        <v>109.2</v>
      </c>
      <c r="H470" s="42">
        <f>0.34*C470/100</f>
        <v>0.13600000000000001</v>
      </c>
      <c r="I470" s="42">
        <f>0*C470/100</f>
        <v>0</v>
      </c>
      <c r="J470" s="42">
        <v>0</v>
      </c>
      <c r="K470" s="42">
        <f>1.5*C470/100</f>
        <v>0.6</v>
      </c>
      <c r="L470" s="48">
        <f>148.1*C470/100</f>
        <v>59.24</v>
      </c>
      <c r="M470" s="48">
        <f>0*C470/100</f>
        <v>0</v>
      </c>
      <c r="N470" s="48">
        <f>16*C470/100</f>
        <v>6.4</v>
      </c>
      <c r="O470" s="42">
        <f>2.4*C470/100</f>
        <v>0.96</v>
      </c>
      <c r="P470" s="56">
        <f>0.2*C470/100</f>
        <v>0.08</v>
      </c>
      <c r="Q470" s="56">
        <f>1.5*C470/100</f>
        <v>0.6</v>
      </c>
      <c r="R470" s="67">
        <v>200102</v>
      </c>
      <c r="S470" s="67"/>
    </row>
    <row r="471" spans="1:19" s="63" customFormat="1" x14ac:dyDescent="0.2">
      <c r="A471" s="49">
        <v>7</v>
      </c>
      <c r="B471" s="47" t="s">
        <v>222</v>
      </c>
      <c r="C471" s="41">
        <v>40</v>
      </c>
      <c r="D471" s="42">
        <f>9.4*C471/100</f>
        <v>3.76</v>
      </c>
      <c r="E471" s="42">
        <f>5.8*C471/100</f>
        <v>2.3199999999999998</v>
      </c>
      <c r="F471" s="42">
        <f>52.7*C471/100</f>
        <v>21.08</v>
      </c>
      <c r="G471" s="42">
        <f>300.6*C471/100</f>
        <v>120.24</v>
      </c>
      <c r="H471" s="42">
        <f>0.4*C471/100</f>
        <v>0.16</v>
      </c>
      <c r="I471" s="42">
        <f>0.03*C471/100</f>
        <v>1.2E-2</v>
      </c>
      <c r="J471" s="42">
        <v>0</v>
      </c>
      <c r="K471" s="42">
        <f>1.7*C471/100</f>
        <v>0.68</v>
      </c>
      <c r="L471" s="48">
        <f>25.4*C471/100</f>
        <v>10.16</v>
      </c>
      <c r="M471" s="48">
        <f>105.53*C471/100</f>
        <v>42.211999999999996</v>
      </c>
      <c r="N471" s="48">
        <f>36.5*C471/100</f>
        <v>14.6</v>
      </c>
      <c r="O471" s="42">
        <f>2.45*C471/100</f>
        <v>0.98</v>
      </c>
      <c r="P471" s="56">
        <f>0.2*C471/100</f>
        <v>0.08</v>
      </c>
      <c r="Q471" s="56">
        <v>0</v>
      </c>
      <c r="R471" s="67">
        <v>190101</v>
      </c>
      <c r="S471" s="67"/>
    </row>
    <row r="472" spans="1:19" s="4" customFormat="1" x14ac:dyDescent="0.25">
      <c r="A472" s="49"/>
      <c r="B472" s="218" t="s">
        <v>4</v>
      </c>
      <c r="C472" s="120"/>
      <c r="D472" s="170">
        <f t="shared" ref="D472:Q472" si="82">SUM(D465:D471)</f>
        <v>24.769500000000001</v>
      </c>
      <c r="E472" s="170">
        <f t="shared" si="82"/>
        <v>33.375500000000002</v>
      </c>
      <c r="F472" s="170">
        <f t="shared" si="82"/>
        <v>111.65199999999999</v>
      </c>
      <c r="G472" s="170">
        <f t="shared" si="82"/>
        <v>830.31000000000006</v>
      </c>
      <c r="H472" s="170">
        <f t="shared" si="82"/>
        <v>0.81600000000000006</v>
      </c>
      <c r="I472" s="170">
        <f t="shared" si="82"/>
        <v>46.925000000000004</v>
      </c>
      <c r="J472" s="170">
        <f t="shared" si="82"/>
        <v>0.27471599999999996</v>
      </c>
      <c r="K472" s="170">
        <f t="shared" si="82"/>
        <v>6.4009999999999998</v>
      </c>
      <c r="L472" s="170">
        <f t="shared" si="82"/>
        <v>158.26599999999999</v>
      </c>
      <c r="M472" s="170">
        <f t="shared" si="82"/>
        <v>341.30099999999993</v>
      </c>
      <c r="N472" s="170">
        <f t="shared" si="82"/>
        <v>107.788</v>
      </c>
      <c r="O472" s="170">
        <f t="shared" si="82"/>
        <v>5.93</v>
      </c>
      <c r="P472" s="170">
        <f t="shared" si="82"/>
        <v>0.67849999999999988</v>
      </c>
      <c r="Q472" s="170">
        <f t="shared" si="82"/>
        <v>12.12</v>
      </c>
      <c r="R472" s="122"/>
      <c r="S472" s="122"/>
    </row>
    <row r="473" spans="1:19" s="4" customFormat="1" ht="19.5" customHeight="1" x14ac:dyDescent="0.25">
      <c r="A473" s="314" t="s">
        <v>35</v>
      </c>
      <c r="B473" s="315"/>
      <c r="C473" s="315"/>
      <c r="D473" s="315"/>
      <c r="E473" s="315"/>
      <c r="F473" s="315"/>
      <c r="G473" s="315"/>
      <c r="H473" s="315"/>
      <c r="I473" s="315"/>
      <c r="J473" s="315"/>
      <c r="K473" s="315"/>
      <c r="L473" s="315"/>
      <c r="M473" s="315"/>
      <c r="N473" s="315"/>
      <c r="O473" s="315"/>
      <c r="P473" s="315"/>
      <c r="Q473" s="315"/>
      <c r="R473" s="315"/>
      <c r="S473" s="343"/>
    </row>
    <row r="474" spans="1:19" s="46" customFormat="1" ht="31.5" x14ac:dyDescent="0.3">
      <c r="A474" s="49">
        <v>1</v>
      </c>
      <c r="B474" s="47" t="s">
        <v>256</v>
      </c>
      <c r="C474" s="41">
        <v>50</v>
      </c>
      <c r="D474" s="42">
        <f>11.4*C474/100</f>
        <v>5.7</v>
      </c>
      <c r="E474" s="42">
        <f>6.2*C474/100</f>
        <v>3.1</v>
      </c>
      <c r="F474" s="42">
        <f>54.7*C474/100</f>
        <v>27.35</v>
      </c>
      <c r="G474" s="42">
        <f>320.2*C474/100</f>
        <v>160.1</v>
      </c>
      <c r="H474" s="42">
        <f>0.16*C474/100</f>
        <v>0.08</v>
      </c>
      <c r="I474" s="42">
        <f>0.76*C474/100</f>
        <v>0.38</v>
      </c>
      <c r="J474" s="42">
        <f>0.02*C474/100</f>
        <v>0.01</v>
      </c>
      <c r="K474" s="42">
        <f>1.25*C474/100</f>
        <v>0.625</v>
      </c>
      <c r="L474" s="42">
        <f>63.4*C474/100</f>
        <v>31.7</v>
      </c>
      <c r="M474" s="42">
        <f>102.56*C474/100</f>
        <v>51.28</v>
      </c>
      <c r="N474" s="42">
        <f>19.8*C474/100</f>
        <v>9.9</v>
      </c>
      <c r="O474" s="42">
        <f>1.19*C474/100</f>
        <v>0.59499999999999997</v>
      </c>
      <c r="P474" s="55">
        <f>0.09*C474/100</f>
        <v>4.4999999999999998E-2</v>
      </c>
      <c r="Q474" s="55">
        <v>3.01</v>
      </c>
      <c r="R474" s="183" t="s">
        <v>244</v>
      </c>
      <c r="S474" s="67">
        <v>190109</v>
      </c>
    </row>
    <row r="475" spans="1:19" s="37" customFormat="1" x14ac:dyDescent="0.2">
      <c r="A475" s="49">
        <v>2</v>
      </c>
      <c r="B475" s="47" t="s">
        <v>145</v>
      </c>
      <c r="C475" s="41">
        <v>200</v>
      </c>
      <c r="D475" s="94">
        <f>2.8*C475/100</f>
        <v>5.6</v>
      </c>
      <c r="E475" s="94">
        <f>2.9*C475/100</f>
        <v>5.8</v>
      </c>
      <c r="F475" s="94">
        <f>10.5*C475/100</f>
        <v>21</v>
      </c>
      <c r="G475" s="94">
        <f>79.3*C475/100</f>
        <v>158.6</v>
      </c>
      <c r="H475" s="42">
        <f>0.04*C475/100</f>
        <v>0.08</v>
      </c>
      <c r="I475" s="42">
        <f>0.6*C475/100</f>
        <v>1.2</v>
      </c>
      <c r="J475" s="42">
        <f>0.03*C475/100</f>
        <v>0.06</v>
      </c>
      <c r="K475" s="42">
        <f>0*C475/100</f>
        <v>0</v>
      </c>
      <c r="L475" s="48">
        <f>122*C475/100</f>
        <v>244</v>
      </c>
      <c r="M475" s="48">
        <f>96*C475/100</f>
        <v>192</v>
      </c>
      <c r="N475" s="48">
        <f>15*C475/100</f>
        <v>30</v>
      </c>
      <c r="O475" s="42">
        <f>0.09*C475/100</f>
        <v>0.18</v>
      </c>
      <c r="P475" s="49">
        <v>0.2</v>
      </c>
      <c r="Q475" s="49">
        <v>9</v>
      </c>
      <c r="R475" s="67"/>
      <c r="S475" s="67"/>
    </row>
    <row r="476" spans="1:19" s="4" customFormat="1" ht="18.75" customHeight="1" x14ac:dyDescent="0.25">
      <c r="A476" s="49"/>
      <c r="B476" s="218" t="s">
        <v>4</v>
      </c>
      <c r="C476" s="120"/>
      <c r="D476" s="172">
        <f t="shared" ref="D476:Q476" si="83">SUM(D474:D475)</f>
        <v>11.3</v>
      </c>
      <c r="E476" s="172">
        <f t="shared" si="83"/>
        <v>8.9</v>
      </c>
      <c r="F476" s="172">
        <f t="shared" si="83"/>
        <v>48.35</v>
      </c>
      <c r="G476" s="172">
        <f t="shared" si="83"/>
        <v>318.7</v>
      </c>
      <c r="H476" s="172">
        <f t="shared" si="83"/>
        <v>0.16</v>
      </c>
      <c r="I476" s="172">
        <f t="shared" si="83"/>
        <v>1.58</v>
      </c>
      <c r="J476" s="172">
        <f t="shared" si="83"/>
        <v>6.9999999999999993E-2</v>
      </c>
      <c r="K476" s="172">
        <f t="shared" si="83"/>
        <v>0.625</v>
      </c>
      <c r="L476" s="172">
        <f t="shared" si="83"/>
        <v>275.7</v>
      </c>
      <c r="M476" s="172">
        <f t="shared" si="83"/>
        <v>243.28</v>
      </c>
      <c r="N476" s="172">
        <f t="shared" si="83"/>
        <v>39.9</v>
      </c>
      <c r="O476" s="172">
        <f t="shared" si="83"/>
        <v>0.77499999999999991</v>
      </c>
      <c r="P476" s="170">
        <f t="shared" si="83"/>
        <v>0.245</v>
      </c>
      <c r="Q476" s="170">
        <f t="shared" si="83"/>
        <v>12.01</v>
      </c>
      <c r="R476" s="122"/>
      <c r="S476" s="122"/>
    </row>
    <row r="477" spans="1:19" s="4" customFormat="1" ht="18.75" customHeight="1" x14ac:dyDescent="0.25">
      <c r="A477" s="49"/>
      <c r="B477" s="218" t="s">
        <v>7</v>
      </c>
      <c r="C477" s="120"/>
      <c r="D477" s="170">
        <f t="shared" ref="D477:Q477" si="84">D463+D472+D476</f>
        <v>65.191500000000005</v>
      </c>
      <c r="E477" s="170">
        <f t="shared" si="84"/>
        <v>71.675500000000014</v>
      </c>
      <c r="F477" s="170">
        <f t="shared" si="84"/>
        <v>218.59199999999998</v>
      </c>
      <c r="G477" s="170">
        <f t="shared" si="84"/>
        <v>1764.89</v>
      </c>
      <c r="H477" s="170">
        <f t="shared" si="84"/>
        <v>1.6639999999999999</v>
      </c>
      <c r="I477" s="170">
        <f t="shared" si="84"/>
        <v>78.126999999999995</v>
      </c>
      <c r="J477" s="170">
        <f t="shared" si="84"/>
        <v>1.3037160000000001</v>
      </c>
      <c r="K477" s="170">
        <f t="shared" si="84"/>
        <v>8.39</v>
      </c>
      <c r="L477" s="170">
        <f t="shared" si="84"/>
        <v>751.54199999999992</v>
      </c>
      <c r="M477" s="170">
        <f t="shared" si="84"/>
        <v>931.12199999999984</v>
      </c>
      <c r="N477" s="170">
        <f t="shared" si="84"/>
        <v>186.26600000000002</v>
      </c>
      <c r="O477" s="170">
        <f t="shared" si="84"/>
        <v>8.3149999999999995</v>
      </c>
      <c r="P477" s="170">
        <f t="shared" si="84"/>
        <v>1.7385000000000002</v>
      </c>
      <c r="Q477" s="170">
        <f t="shared" si="84"/>
        <v>35.004999999999995</v>
      </c>
      <c r="R477" s="122"/>
      <c r="S477" s="122"/>
    </row>
    <row r="478" spans="1:19" s="4" customFormat="1" ht="19.5" customHeight="1" thickBot="1" x14ac:dyDescent="0.3">
      <c r="A478" s="344" t="s">
        <v>60</v>
      </c>
      <c r="B478" s="345"/>
      <c r="C478" s="345"/>
      <c r="D478" s="345"/>
      <c r="E478" s="345"/>
      <c r="F478" s="345"/>
      <c r="G478" s="345"/>
      <c r="H478" s="345"/>
      <c r="I478" s="345"/>
      <c r="J478" s="345"/>
      <c r="K478" s="345"/>
      <c r="L478" s="345"/>
      <c r="M478" s="345"/>
      <c r="N478" s="345"/>
      <c r="O478" s="345"/>
      <c r="P478" s="345"/>
      <c r="Q478" s="345"/>
      <c r="R478" s="345"/>
      <c r="S478" s="348"/>
    </row>
    <row r="479" spans="1:19" s="4" customFormat="1" ht="19.5" customHeight="1" x14ac:dyDescent="0.25">
      <c r="A479" s="304" t="s">
        <v>3</v>
      </c>
      <c r="B479" s="305"/>
      <c r="C479" s="305"/>
      <c r="D479" s="305"/>
      <c r="E479" s="305"/>
      <c r="F479" s="305"/>
      <c r="G479" s="305"/>
      <c r="H479" s="305"/>
      <c r="I479" s="305"/>
      <c r="J479" s="305"/>
      <c r="K479" s="305"/>
      <c r="L479" s="305"/>
      <c r="M479" s="305"/>
      <c r="N479" s="305"/>
      <c r="O479" s="305"/>
      <c r="P479" s="305"/>
      <c r="Q479" s="305"/>
      <c r="R479" s="305"/>
      <c r="S479" s="346"/>
    </row>
    <row r="480" spans="1:19" s="63" customFormat="1" ht="36" customHeight="1" x14ac:dyDescent="0.2">
      <c r="A480" s="49">
        <v>1</v>
      </c>
      <c r="B480" s="47" t="s">
        <v>265</v>
      </c>
      <c r="C480" s="41">
        <v>150</v>
      </c>
      <c r="D480" s="94">
        <f>3.2*C480/100</f>
        <v>4.8</v>
      </c>
      <c r="E480" s="94">
        <f>4.8*C480/100</f>
        <v>7.2</v>
      </c>
      <c r="F480" s="94">
        <f>15.6*C480/100</f>
        <v>23.4</v>
      </c>
      <c r="G480" s="94">
        <f>118.5*C480/100</f>
        <v>177.75</v>
      </c>
      <c r="H480" s="42">
        <f>0.19*C480/100</f>
        <v>0.28499999999999998</v>
      </c>
      <c r="I480" s="42">
        <f>13.15*C480/100</f>
        <v>19.725000000000001</v>
      </c>
      <c r="J480" s="42">
        <f>0.02*C480/100</f>
        <v>0.03</v>
      </c>
      <c r="K480" s="42">
        <f>0.06*C480/100</f>
        <v>0.09</v>
      </c>
      <c r="L480" s="48">
        <f>4.76*C480/100</f>
        <v>7.14</v>
      </c>
      <c r="M480" s="48">
        <f>38.66*C480/100</f>
        <v>57.989999999999988</v>
      </c>
      <c r="N480" s="48">
        <f>13.42*C480/100</f>
        <v>20.13</v>
      </c>
      <c r="O480" s="42">
        <f>0.39*C480/100</f>
        <v>0.58499999999999996</v>
      </c>
      <c r="P480" s="49">
        <f>0.01*C480/100</f>
        <v>1.4999999999999999E-2</v>
      </c>
      <c r="Q480" s="49">
        <v>4.46</v>
      </c>
      <c r="R480" s="233">
        <v>120211</v>
      </c>
      <c r="S480" s="233">
        <v>120212</v>
      </c>
    </row>
    <row r="481" spans="1:19" s="63" customFormat="1" x14ac:dyDescent="0.2">
      <c r="A481" s="49">
        <v>2</v>
      </c>
      <c r="B481" s="47" t="s">
        <v>31</v>
      </c>
      <c r="C481" s="59">
        <v>200</v>
      </c>
      <c r="D481" s="60">
        <v>0</v>
      </c>
      <c r="E481" s="60">
        <v>0</v>
      </c>
      <c r="F481" s="60">
        <f>4.99*C481/100</f>
        <v>9.98</v>
      </c>
      <c r="G481" s="42">
        <f>19.95*C481/100</f>
        <v>39.9</v>
      </c>
      <c r="H481" s="42">
        <v>0</v>
      </c>
      <c r="I481" s="42">
        <v>0</v>
      </c>
      <c r="J481" s="42">
        <v>0</v>
      </c>
      <c r="K481" s="42">
        <v>0</v>
      </c>
      <c r="L481" s="48">
        <f>8.15*C481/100</f>
        <v>16.3</v>
      </c>
      <c r="M481" s="48">
        <f>0.02*C481/100</f>
        <v>0.04</v>
      </c>
      <c r="N481" s="48">
        <f>1.79*C481/100</f>
        <v>3.58</v>
      </c>
      <c r="O481" s="42">
        <f>0.02*C481/100</f>
        <v>0.04</v>
      </c>
      <c r="P481" s="49">
        <f>0.01*C481/100</f>
        <v>0.02</v>
      </c>
      <c r="Q481" s="49">
        <v>0.48</v>
      </c>
      <c r="R481" s="67">
        <v>160105</v>
      </c>
      <c r="S481" s="67"/>
    </row>
    <row r="482" spans="1:19" s="63" customFormat="1" x14ac:dyDescent="0.2">
      <c r="A482" s="49">
        <v>3</v>
      </c>
      <c r="B482" s="47" t="s">
        <v>160</v>
      </c>
      <c r="C482" s="41">
        <v>20</v>
      </c>
      <c r="D482" s="42">
        <f>7.76*C482/100</f>
        <v>1.5519999999999998</v>
      </c>
      <c r="E482" s="42">
        <f>2.65*C482/100</f>
        <v>0.53</v>
      </c>
      <c r="F482" s="42">
        <f>53.25*C482/100</f>
        <v>10.65</v>
      </c>
      <c r="G482" s="42">
        <f>273*C482/100</f>
        <v>54.6</v>
      </c>
      <c r="H482" s="42">
        <f>0.34*C482/100</f>
        <v>6.8000000000000005E-2</v>
      </c>
      <c r="I482" s="42">
        <f>0*C482/100</f>
        <v>0</v>
      </c>
      <c r="J482" s="42">
        <v>0</v>
      </c>
      <c r="K482" s="42">
        <f>1.5*C482/100</f>
        <v>0.3</v>
      </c>
      <c r="L482" s="48">
        <f>148.1*C482/100</f>
        <v>29.62</v>
      </c>
      <c r="M482" s="48">
        <f>0*C482/100</f>
        <v>0</v>
      </c>
      <c r="N482" s="48">
        <f>16*C482/100</f>
        <v>3.2</v>
      </c>
      <c r="O482" s="42">
        <f>2.4*C482/100</f>
        <v>0.48</v>
      </c>
      <c r="P482" s="56">
        <f>0.2*C482/100</f>
        <v>0.04</v>
      </c>
      <c r="Q482" s="56">
        <f>1.5*C482/100</f>
        <v>0.3</v>
      </c>
      <c r="R482" s="67">
        <v>200102</v>
      </c>
      <c r="S482" s="67"/>
    </row>
    <row r="483" spans="1:19" s="37" customFormat="1" x14ac:dyDescent="0.2">
      <c r="A483" s="49">
        <v>4</v>
      </c>
      <c r="B483" s="47" t="s">
        <v>272</v>
      </c>
      <c r="C483" s="41">
        <v>150</v>
      </c>
      <c r="D483" s="42">
        <f>1.2*C483/100</f>
        <v>1.8</v>
      </c>
      <c r="E483" s="42">
        <f>7.6*C483/100</f>
        <v>11.4</v>
      </c>
      <c r="F483" s="42">
        <f>28.8*C483/100</f>
        <v>43.2</v>
      </c>
      <c r="G483" s="42">
        <f>188.4*C483/100</f>
        <v>282.60000000000002</v>
      </c>
      <c r="H483" s="42">
        <v>0</v>
      </c>
      <c r="I483" s="42">
        <f>0.8*C483/100</f>
        <v>1.2</v>
      </c>
      <c r="J483" s="42">
        <v>0</v>
      </c>
      <c r="K483" s="42">
        <v>0</v>
      </c>
      <c r="L483" s="48">
        <f>28.96*C483/100</f>
        <v>43.44</v>
      </c>
      <c r="M483" s="48">
        <f>9.26*C483/100</f>
        <v>13.89</v>
      </c>
      <c r="N483" s="48">
        <f>3.51*C483/100</f>
        <v>5.2649999999999997</v>
      </c>
      <c r="O483" s="42">
        <f>0.1*C483/100</f>
        <v>0.15</v>
      </c>
      <c r="P483" s="56">
        <v>0</v>
      </c>
      <c r="Q483" s="56">
        <v>0</v>
      </c>
      <c r="R483" s="67"/>
      <c r="S483" s="67">
        <v>220109</v>
      </c>
    </row>
    <row r="484" spans="1:19" s="4" customFormat="1" x14ac:dyDescent="0.25">
      <c r="A484" s="49"/>
      <c r="B484" s="218" t="s">
        <v>4</v>
      </c>
      <c r="C484" s="41"/>
      <c r="D484" s="172">
        <f t="shared" ref="D484:Q484" si="85">SUM(D480:D483)</f>
        <v>8.1519999999999992</v>
      </c>
      <c r="E484" s="172">
        <f t="shared" si="85"/>
        <v>19.130000000000003</v>
      </c>
      <c r="F484" s="172">
        <f t="shared" si="85"/>
        <v>87.22999999999999</v>
      </c>
      <c r="G484" s="172">
        <f t="shared" si="85"/>
        <v>554.85</v>
      </c>
      <c r="H484" s="172">
        <f t="shared" si="85"/>
        <v>0.35299999999999998</v>
      </c>
      <c r="I484" s="172">
        <f t="shared" si="85"/>
        <v>20.925000000000001</v>
      </c>
      <c r="J484" s="172">
        <f t="shared" si="85"/>
        <v>0.03</v>
      </c>
      <c r="K484" s="172">
        <f t="shared" si="85"/>
        <v>0.39</v>
      </c>
      <c r="L484" s="172">
        <f t="shared" si="85"/>
        <v>96.5</v>
      </c>
      <c r="M484" s="172">
        <f t="shared" si="85"/>
        <v>71.919999999999987</v>
      </c>
      <c r="N484" s="172">
        <f t="shared" si="85"/>
        <v>32.174999999999997</v>
      </c>
      <c r="O484" s="172">
        <f t="shared" si="85"/>
        <v>1.2549999999999999</v>
      </c>
      <c r="P484" s="170">
        <f t="shared" si="85"/>
        <v>7.5000000000000011E-2</v>
      </c>
      <c r="Q484" s="170">
        <f t="shared" si="85"/>
        <v>5.2399999999999993</v>
      </c>
      <c r="R484" s="122"/>
      <c r="S484" s="122"/>
    </row>
    <row r="485" spans="1:19" s="4" customFormat="1" x14ac:dyDescent="0.25">
      <c r="A485" s="300" t="s">
        <v>5</v>
      </c>
      <c r="B485" s="301"/>
      <c r="C485" s="301"/>
      <c r="D485" s="301"/>
      <c r="E485" s="301"/>
      <c r="F485" s="301"/>
      <c r="G485" s="301"/>
      <c r="H485" s="301"/>
      <c r="I485" s="301"/>
      <c r="J485" s="301"/>
      <c r="K485" s="301"/>
      <c r="L485" s="301"/>
      <c r="M485" s="301"/>
      <c r="N485" s="301"/>
      <c r="O485" s="301"/>
      <c r="P485" s="301"/>
      <c r="Q485" s="301"/>
      <c r="R485" s="301"/>
      <c r="S485" s="347"/>
    </row>
    <row r="486" spans="1:19" s="63" customFormat="1" ht="37.5" x14ac:dyDescent="0.2">
      <c r="A486" s="49">
        <v>1</v>
      </c>
      <c r="B486" s="47" t="s">
        <v>195</v>
      </c>
      <c r="C486" s="182">
        <v>60</v>
      </c>
      <c r="D486" s="42">
        <f>1.18*C486/100</f>
        <v>0.70799999999999996</v>
      </c>
      <c r="E486" s="42">
        <f>10.17*C486/100</f>
        <v>6.1020000000000003</v>
      </c>
      <c r="F486" s="42">
        <f>2.63*C486/100</f>
        <v>1.5779999999999998</v>
      </c>
      <c r="G486" s="42">
        <f>108.06*C486/100</f>
        <v>64.835999999999999</v>
      </c>
      <c r="H486" s="94">
        <f>0.04*C486/100</f>
        <v>2.4E-2</v>
      </c>
      <c r="I486" s="94">
        <f>15.3*C486/100</f>
        <v>9.18</v>
      </c>
      <c r="J486" s="94">
        <f>0*C486/100</f>
        <v>0</v>
      </c>
      <c r="K486" s="94">
        <f>2.03*C486/100</f>
        <v>1.2179999999999997</v>
      </c>
      <c r="L486" s="124">
        <f>41.72*C486/100</f>
        <v>25.031999999999996</v>
      </c>
      <c r="M486" s="124">
        <f>27.54*C486/100</f>
        <v>16.523999999999997</v>
      </c>
      <c r="N486" s="124">
        <f>27.54*C486/100</f>
        <v>16.523999999999997</v>
      </c>
      <c r="O486" s="94">
        <f>0.68*C486/100</f>
        <v>0.40800000000000003</v>
      </c>
      <c r="P486" s="49">
        <f>0.05*C486/100</f>
        <v>0.03</v>
      </c>
      <c r="Q486" s="49">
        <f>5.6*C486/100</f>
        <v>3.36</v>
      </c>
      <c r="R486" s="67">
        <v>100204</v>
      </c>
      <c r="S486" s="67"/>
    </row>
    <row r="487" spans="1:19" s="63" customFormat="1" x14ac:dyDescent="0.2">
      <c r="A487" s="49">
        <v>2</v>
      </c>
      <c r="B487" s="47" t="s">
        <v>179</v>
      </c>
      <c r="C487" s="41">
        <v>250</v>
      </c>
      <c r="D487" s="42">
        <f>1.05*C487/100</f>
        <v>2.625</v>
      </c>
      <c r="E487" s="42">
        <f>2.6*C487/100</f>
        <v>6.5</v>
      </c>
      <c r="F487" s="42">
        <f>1.8*C487/100</f>
        <v>4.5</v>
      </c>
      <c r="G487" s="42">
        <f>29.2*C487/100</f>
        <v>73</v>
      </c>
      <c r="H487" s="42">
        <f>0.04*C487/100</f>
        <v>0.1</v>
      </c>
      <c r="I487" s="42">
        <f>8.87*C487/100</f>
        <v>22.175000000000001</v>
      </c>
      <c r="J487" s="42">
        <f>0.01*C487/100</f>
        <v>2.5000000000000001E-2</v>
      </c>
      <c r="K487" s="42">
        <f>0.08*C487/100</f>
        <v>0.2</v>
      </c>
      <c r="L487" s="48">
        <f>38.5*C487/100</f>
        <v>96.25</v>
      </c>
      <c r="M487" s="48">
        <f>37.58*C487/100</f>
        <v>93.95</v>
      </c>
      <c r="N487" s="48">
        <f>27.73*C487/100</f>
        <v>69.325000000000003</v>
      </c>
      <c r="O487" s="42">
        <f>1.08*C487/100</f>
        <v>2.7</v>
      </c>
      <c r="P487" s="49">
        <f>0.07*C487/100</f>
        <v>0.17499999999999999</v>
      </c>
      <c r="Q487" s="49">
        <v>3.63</v>
      </c>
      <c r="R487" s="233">
        <v>110107</v>
      </c>
      <c r="S487" s="233">
        <v>110108</v>
      </c>
    </row>
    <row r="488" spans="1:19" s="63" customFormat="1" x14ac:dyDescent="0.2">
      <c r="A488" s="49">
        <v>3</v>
      </c>
      <c r="B488" s="47" t="s">
        <v>170</v>
      </c>
      <c r="C488" s="41">
        <v>20</v>
      </c>
      <c r="D488" s="42">
        <f>12.7*C488/100</f>
        <v>2.54</v>
      </c>
      <c r="E488" s="42">
        <f>11.5*C488/100</f>
        <v>2.2999999999999998</v>
      </c>
      <c r="F488" s="42">
        <f>0.7*C488/100</f>
        <v>0.14000000000000001</v>
      </c>
      <c r="G488" s="42">
        <f>157*C488/100</f>
        <v>31.4</v>
      </c>
      <c r="H488" s="42">
        <f>0.07*C488/100</f>
        <v>1.4000000000000002E-2</v>
      </c>
      <c r="I488" s="42">
        <f>0*C488/100</f>
        <v>0</v>
      </c>
      <c r="J488" s="42">
        <f>0.25*C488/100</f>
        <v>0.05</v>
      </c>
      <c r="K488" s="42">
        <f>0*C488/100</f>
        <v>0</v>
      </c>
      <c r="L488" s="48">
        <f>55*C488/100</f>
        <v>11</v>
      </c>
      <c r="M488" s="48">
        <f>0.2*C488/100</f>
        <v>0.04</v>
      </c>
      <c r="N488" s="48">
        <f>12.06*C488/100</f>
        <v>2.4120000000000004</v>
      </c>
      <c r="O488" s="42">
        <f>2.5*C488/100</f>
        <v>0.5</v>
      </c>
      <c r="P488" s="49">
        <f>0.44*C488/100</f>
        <v>8.8000000000000009E-2</v>
      </c>
      <c r="Q488" s="49">
        <f>20*C488/100</f>
        <v>4</v>
      </c>
      <c r="R488" s="67">
        <v>120304</v>
      </c>
      <c r="S488" s="67"/>
    </row>
    <row r="489" spans="1:19" s="63" customFormat="1" x14ac:dyDescent="0.2">
      <c r="A489" s="49">
        <v>5</v>
      </c>
      <c r="B489" s="47" t="s">
        <v>117</v>
      </c>
      <c r="C489" s="41">
        <v>80</v>
      </c>
      <c r="D489" s="42">
        <f>15.1*C489/100</f>
        <v>12.08</v>
      </c>
      <c r="E489" s="42">
        <f>1.7*C489/100</f>
        <v>1.36</v>
      </c>
      <c r="F489" s="42">
        <f>26*C489/100</f>
        <v>20.8</v>
      </c>
      <c r="G489" s="42">
        <f>179.7*C489/100</f>
        <v>143.76</v>
      </c>
      <c r="H489" s="42">
        <v>0.06</v>
      </c>
      <c r="I489" s="42">
        <v>0.38</v>
      </c>
      <c r="J489" s="42">
        <v>0</v>
      </c>
      <c r="K489" s="42">
        <v>2.4</v>
      </c>
      <c r="L489" s="48">
        <v>51</v>
      </c>
      <c r="M489" s="48">
        <v>142.30000000000001</v>
      </c>
      <c r="N489" s="48">
        <v>26.85</v>
      </c>
      <c r="O489" s="42">
        <v>1.33</v>
      </c>
      <c r="P489" s="49">
        <v>0.08</v>
      </c>
      <c r="Q489" s="49">
        <v>1.1000000000000001</v>
      </c>
      <c r="R489" s="67">
        <v>120519</v>
      </c>
      <c r="S489" s="183">
        <v>120520</v>
      </c>
    </row>
    <row r="490" spans="1:19" s="63" customFormat="1" x14ac:dyDescent="0.2">
      <c r="A490" s="49">
        <v>6</v>
      </c>
      <c r="B490" s="47" t="s">
        <v>118</v>
      </c>
      <c r="C490" s="41">
        <v>30</v>
      </c>
      <c r="D490" s="42">
        <f>0.6*C490/100</f>
        <v>0.18</v>
      </c>
      <c r="E490" s="42">
        <f>4.4*C490/100</f>
        <v>1.32</v>
      </c>
      <c r="F490" s="42">
        <f>6.6*C490/100</f>
        <v>1.98</v>
      </c>
      <c r="G490" s="42">
        <f>68.4*C490/100</f>
        <v>20.52</v>
      </c>
      <c r="H490" s="42">
        <f>0.3*C490/100</f>
        <v>0.09</v>
      </c>
      <c r="I490" s="42">
        <f>15*C490/100</f>
        <v>4.5</v>
      </c>
      <c r="J490" s="42">
        <f>0.35*C490/100</f>
        <v>0.105</v>
      </c>
      <c r="K490" s="42">
        <f>0*C490/100</f>
        <v>0</v>
      </c>
      <c r="L490" s="48">
        <v>0</v>
      </c>
      <c r="M490" s="48">
        <v>0</v>
      </c>
      <c r="N490" s="48">
        <v>0</v>
      </c>
      <c r="O490" s="42">
        <v>0</v>
      </c>
      <c r="P490" s="49">
        <f>0.3*C490/100</f>
        <v>0.09</v>
      </c>
      <c r="Q490" s="49">
        <f>1.3*C490/100</f>
        <v>0.39</v>
      </c>
      <c r="R490" s="67">
        <v>140101</v>
      </c>
      <c r="S490" s="183">
        <v>140102</v>
      </c>
    </row>
    <row r="491" spans="1:19" s="63" customFormat="1" x14ac:dyDescent="0.2">
      <c r="A491" s="49">
        <v>7</v>
      </c>
      <c r="B491" s="47" t="s">
        <v>113</v>
      </c>
      <c r="C491" s="41">
        <v>150</v>
      </c>
      <c r="D491" s="42">
        <f>3.22*C491/100</f>
        <v>4.830000000000001</v>
      </c>
      <c r="E491" s="42">
        <f>4.825*C491/100</f>
        <v>7.2374999999999998</v>
      </c>
      <c r="F491" s="42">
        <f>21.9*C491/100</f>
        <v>32.85</v>
      </c>
      <c r="G491" s="42">
        <f>140.5*C491/100</f>
        <v>210.75</v>
      </c>
      <c r="H491" s="42">
        <f>0.14*C491/100</f>
        <v>0.21000000000000005</v>
      </c>
      <c r="I491" s="42">
        <f>0*C491/100</f>
        <v>0</v>
      </c>
      <c r="J491" s="42">
        <f>0.02*C491/100</f>
        <v>0.03</v>
      </c>
      <c r="K491" s="42">
        <f>0.05*C491/100</f>
        <v>7.4999999999999997E-2</v>
      </c>
      <c r="L491" s="48">
        <f>12.38*C491/100</f>
        <v>18.570000000000004</v>
      </c>
      <c r="M491" s="48">
        <f>132.35*C491/100</f>
        <v>198.52500000000001</v>
      </c>
      <c r="N491" s="48">
        <f>88.86*C491/100</f>
        <v>133.29</v>
      </c>
      <c r="O491" s="42">
        <f>2.97*C491/100</f>
        <v>4.455000000000001</v>
      </c>
      <c r="P491" s="49">
        <f>0.075*C491/100</f>
        <v>0.1125</v>
      </c>
      <c r="Q491" s="49">
        <f>0.34*C491/100</f>
        <v>0.51000000000000012</v>
      </c>
      <c r="R491" s="67">
        <v>130309</v>
      </c>
      <c r="S491" s="67">
        <v>130310</v>
      </c>
    </row>
    <row r="492" spans="1:19" s="37" customFormat="1" ht="37.5" x14ac:dyDescent="0.2">
      <c r="A492" s="49">
        <v>8</v>
      </c>
      <c r="B492" s="47" t="s">
        <v>130</v>
      </c>
      <c r="C492" s="41">
        <v>200</v>
      </c>
      <c r="D492" s="42">
        <f>0.09*C492/100</f>
        <v>0.18</v>
      </c>
      <c r="E492" s="42">
        <f>0.04*C492/100</f>
        <v>0.08</v>
      </c>
      <c r="F492" s="42">
        <f>8.76*C492/100</f>
        <v>17.52</v>
      </c>
      <c r="G492" s="42">
        <f>26.45*C492/100</f>
        <v>52.9</v>
      </c>
      <c r="H492" s="42">
        <f>0.02*C492/100</f>
        <v>0.04</v>
      </c>
      <c r="I492" s="42">
        <f>52.8*C492/100</f>
        <v>105.6</v>
      </c>
      <c r="J492" s="42">
        <f>0*C492/100</f>
        <v>0</v>
      </c>
      <c r="K492" s="42">
        <v>0</v>
      </c>
      <c r="L492" s="48">
        <f>35.02*C492/100</f>
        <v>70.040000000000006</v>
      </c>
      <c r="M492" s="48">
        <v>0</v>
      </c>
      <c r="N492" s="48">
        <f>0.9*C492/100</f>
        <v>1.8</v>
      </c>
      <c r="O492" s="42">
        <f>1.07*C492/100</f>
        <v>2.14</v>
      </c>
      <c r="P492" s="62">
        <f>0.04*C492/100</f>
        <v>0.08</v>
      </c>
      <c r="Q492" s="62">
        <v>2.3199999999999998</v>
      </c>
      <c r="R492" s="67">
        <v>160205</v>
      </c>
      <c r="S492" s="67"/>
    </row>
    <row r="493" spans="1:19" s="63" customFormat="1" x14ac:dyDescent="0.2">
      <c r="A493" s="49">
        <v>9</v>
      </c>
      <c r="B493" s="47" t="s">
        <v>160</v>
      </c>
      <c r="C493" s="41">
        <v>40</v>
      </c>
      <c r="D493" s="42">
        <f>7.76*C493/100</f>
        <v>3.1039999999999996</v>
      </c>
      <c r="E493" s="42">
        <f>2.65*C493/100</f>
        <v>1.06</v>
      </c>
      <c r="F493" s="42">
        <f>53.25*C493/100</f>
        <v>21.3</v>
      </c>
      <c r="G493" s="42">
        <f>273*C493/100</f>
        <v>109.2</v>
      </c>
      <c r="H493" s="42">
        <f>0.34*C493/100</f>
        <v>0.13600000000000001</v>
      </c>
      <c r="I493" s="42">
        <f>0*C493/100</f>
        <v>0</v>
      </c>
      <c r="J493" s="42">
        <v>0</v>
      </c>
      <c r="K493" s="42">
        <f>1.5*C493/100</f>
        <v>0.6</v>
      </c>
      <c r="L493" s="48">
        <f>148.1*C493/100</f>
        <v>59.24</v>
      </c>
      <c r="M493" s="48">
        <f>0*C493/100</f>
        <v>0</v>
      </c>
      <c r="N493" s="48">
        <f>16*C493/100</f>
        <v>6.4</v>
      </c>
      <c r="O493" s="42">
        <f>2.4*C493/100</f>
        <v>0.96</v>
      </c>
      <c r="P493" s="56">
        <f>0.2*C493/100</f>
        <v>0.08</v>
      </c>
      <c r="Q493" s="56">
        <f>1.5*C493/100</f>
        <v>0.6</v>
      </c>
      <c r="R493" s="67">
        <v>200102</v>
      </c>
      <c r="S493" s="67"/>
    </row>
    <row r="494" spans="1:19" s="63" customFormat="1" x14ac:dyDescent="0.2">
      <c r="A494" s="49">
        <v>10</v>
      </c>
      <c r="B494" s="47" t="s">
        <v>159</v>
      </c>
      <c r="C494" s="41">
        <v>20</v>
      </c>
      <c r="D494" s="42">
        <f>5.86*C494/100</f>
        <v>1.1719999999999999</v>
      </c>
      <c r="E494" s="42">
        <f>0.94*C494/100</f>
        <v>0.18799999999999997</v>
      </c>
      <c r="F494" s="42">
        <f>44.4*C494/100</f>
        <v>8.8800000000000008</v>
      </c>
      <c r="G494" s="42">
        <f>189*C494/100</f>
        <v>37.799999999999997</v>
      </c>
      <c r="H494" s="42">
        <f>0.4*C494/100</f>
        <v>0.08</v>
      </c>
      <c r="I494" s="42">
        <f>0.03*C494/100</f>
        <v>6.0000000000000001E-3</v>
      </c>
      <c r="J494" s="42">
        <v>0</v>
      </c>
      <c r="K494" s="42">
        <f>1.7*C494/100</f>
        <v>0.34</v>
      </c>
      <c r="L494" s="48">
        <f>25.4*C494/100</f>
        <v>5.08</v>
      </c>
      <c r="M494" s="48">
        <f>105.53*C494/100</f>
        <v>21.105999999999998</v>
      </c>
      <c r="N494" s="48">
        <f>36.5*C494/100</f>
        <v>7.3</v>
      </c>
      <c r="O494" s="42">
        <f>2.45*C494/100</f>
        <v>0.49</v>
      </c>
      <c r="P494" s="56">
        <f>0.2*C494/100</f>
        <v>0.04</v>
      </c>
      <c r="Q494" s="56">
        <f>10*C494/100</f>
        <v>2</v>
      </c>
      <c r="R494" s="67">
        <v>200103</v>
      </c>
      <c r="S494" s="67"/>
    </row>
    <row r="495" spans="1:19" s="53" customFormat="1" ht="15.75" customHeight="1" x14ac:dyDescent="0.3">
      <c r="A495" s="49">
        <v>11</v>
      </c>
      <c r="B495" s="47" t="s">
        <v>146</v>
      </c>
      <c r="C495" s="41">
        <v>18</v>
      </c>
      <c r="D495" s="42">
        <v>7.0000000000000007E-2</v>
      </c>
      <c r="E495" s="42">
        <v>0</v>
      </c>
      <c r="F495" s="42">
        <v>13.79</v>
      </c>
      <c r="G495" s="42">
        <v>52.74</v>
      </c>
      <c r="H495" s="42">
        <v>0</v>
      </c>
      <c r="I495" s="42">
        <v>0</v>
      </c>
      <c r="J495" s="42">
        <v>0</v>
      </c>
      <c r="K495" s="42">
        <v>0</v>
      </c>
      <c r="L495" s="42">
        <v>0</v>
      </c>
      <c r="M495" s="42">
        <v>0</v>
      </c>
      <c r="N495" s="42">
        <v>0</v>
      </c>
      <c r="O495" s="42">
        <v>0</v>
      </c>
      <c r="P495" s="55">
        <v>0</v>
      </c>
      <c r="Q495" s="55">
        <v>0</v>
      </c>
      <c r="R495" s="122"/>
      <c r="S495" s="122"/>
    </row>
    <row r="496" spans="1:19" s="4" customFormat="1" ht="18.75" customHeight="1" x14ac:dyDescent="0.25">
      <c r="A496" s="49"/>
      <c r="B496" s="218" t="s">
        <v>4</v>
      </c>
      <c r="C496" s="120"/>
      <c r="D496" s="170">
        <f t="shared" ref="D496:Q496" si="86">SUM(D486:D495)</f>
        <v>27.489000000000001</v>
      </c>
      <c r="E496" s="170">
        <f t="shared" si="86"/>
        <v>26.147499999999997</v>
      </c>
      <c r="F496" s="170">
        <f t="shared" si="86"/>
        <v>123.33799999999999</v>
      </c>
      <c r="G496" s="170">
        <f t="shared" si="86"/>
        <v>796.90599999999995</v>
      </c>
      <c r="H496" s="170">
        <f t="shared" si="86"/>
        <v>0.75400000000000011</v>
      </c>
      <c r="I496" s="170">
        <f t="shared" si="86"/>
        <v>141.84099999999998</v>
      </c>
      <c r="J496" s="170">
        <f t="shared" si="86"/>
        <v>0.21</v>
      </c>
      <c r="K496" s="170">
        <f t="shared" si="86"/>
        <v>4.8329999999999993</v>
      </c>
      <c r="L496" s="170">
        <f t="shared" si="86"/>
        <v>336.21199999999999</v>
      </c>
      <c r="M496" s="170">
        <f t="shared" si="86"/>
        <v>472.44500000000005</v>
      </c>
      <c r="N496" s="170">
        <f t="shared" si="86"/>
        <v>263.90100000000001</v>
      </c>
      <c r="O496" s="170">
        <f t="shared" si="86"/>
        <v>12.983000000000002</v>
      </c>
      <c r="P496" s="170">
        <f t="shared" si="86"/>
        <v>0.77549999999999997</v>
      </c>
      <c r="Q496" s="170">
        <f t="shared" si="86"/>
        <v>17.91</v>
      </c>
      <c r="R496" s="122"/>
      <c r="S496" s="122"/>
    </row>
    <row r="497" spans="1:24" s="4" customFormat="1" ht="19.5" customHeight="1" x14ac:dyDescent="0.25">
      <c r="A497" s="314" t="s">
        <v>35</v>
      </c>
      <c r="B497" s="315"/>
      <c r="C497" s="315"/>
      <c r="D497" s="315"/>
      <c r="E497" s="315"/>
      <c r="F497" s="315"/>
      <c r="G497" s="315"/>
      <c r="H497" s="315"/>
      <c r="I497" s="315"/>
      <c r="J497" s="315"/>
      <c r="K497" s="315"/>
      <c r="L497" s="315"/>
      <c r="M497" s="315"/>
      <c r="N497" s="315"/>
      <c r="O497" s="315"/>
      <c r="P497" s="315"/>
      <c r="Q497" s="315"/>
      <c r="R497" s="315"/>
      <c r="S497" s="343"/>
    </row>
    <row r="498" spans="1:24" s="63" customFormat="1" x14ac:dyDescent="0.2">
      <c r="A498" s="49">
        <v>1</v>
      </c>
      <c r="B498" s="47" t="s">
        <v>34</v>
      </c>
      <c r="C498" s="41">
        <v>50</v>
      </c>
      <c r="D498" s="184">
        <f>5.7*C498/100</f>
        <v>2.85</v>
      </c>
      <c r="E498" s="184">
        <f>20.3*C498/100</f>
        <v>10.15</v>
      </c>
      <c r="F498" s="184">
        <f>57.3*C498/100</f>
        <v>28.65</v>
      </c>
      <c r="G498" s="184">
        <f>430.7*C498/100</f>
        <v>215.35</v>
      </c>
      <c r="H498" s="42">
        <f>0.12*C498/100</f>
        <v>0.06</v>
      </c>
      <c r="I498" s="42">
        <f>0*C498/100</f>
        <v>0</v>
      </c>
      <c r="J498" s="42">
        <f>0.13*C498/100</f>
        <v>6.5000000000000002E-2</v>
      </c>
      <c r="K498" s="42">
        <f>5.55*C498/100</f>
        <v>2.7749999999999999</v>
      </c>
      <c r="L498" s="48">
        <f>44.66*C498/100</f>
        <v>22.33</v>
      </c>
      <c r="M498" s="48">
        <f>148.03*C498/100</f>
        <v>74.015000000000001</v>
      </c>
      <c r="N498" s="48">
        <f>21.6*C498/100</f>
        <v>10.8</v>
      </c>
      <c r="O498" s="42">
        <f>1.35*C498/100</f>
        <v>0.67500000000000004</v>
      </c>
      <c r="P498" s="49">
        <v>0.03</v>
      </c>
      <c r="Q498" s="49">
        <v>0.83</v>
      </c>
      <c r="R498" s="67">
        <v>170601</v>
      </c>
      <c r="S498" s="67">
        <v>170602</v>
      </c>
    </row>
    <row r="499" spans="1:24" s="63" customFormat="1" x14ac:dyDescent="0.2">
      <c r="A499" s="49">
        <v>2</v>
      </c>
      <c r="B499" s="47" t="s">
        <v>161</v>
      </c>
      <c r="C499" s="59">
        <v>200</v>
      </c>
      <c r="D499" s="60">
        <f>3*C499/100</f>
        <v>6</v>
      </c>
      <c r="E499" s="60">
        <f>3.2*C499/100</f>
        <v>6.4</v>
      </c>
      <c r="F499" s="60">
        <f>4.7*C499/100</f>
        <v>9.4</v>
      </c>
      <c r="G499" s="42">
        <f>60*C499/100</f>
        <v>120</v>
      </c>
      <c r="H499" s="49">
        <f>0.18*C499/100</f>
        <v>0.36</v>
      </c>
      <c r="I499" s="49">
        <f>10*C499/100</f>
        <v>20</v>
      </c>
      <c r="J499" s="49">
        <v>0</v>
      </c>
      <c r="K499" s="49">
        <v>0</v>
      </c>
      <c r="L499" s="48">
        <v>0</v>
      </c>
      <c r="M499" s="48">
        <v>0</v>
      </c>
      <c r="N499" s="48">
        <v>0</v>
      </c>
      <c r="O499" s="49">
        <v>0</v>
      </c>
      <c r="P499" s="49">
        <v>0</v>
      </c>
      <c r="Q499" s="49">
        <f>9*C499/100</f>
        <v>18</v>
      </c>
      <c r="R499" s="67"/>
      <c r="S499" s="67"/>
    </row>
    <row r="500" spans="1:24" s="4" customFormat="1" ht="18.75" customHeight="1" x14ac:dyDescent="0.25">
      <c r="A500" s="49"/>
      <c r="B500" s="218" t="s">
        <v>4</v>
      </c>
      <c r="C500" s="41"/>
      <c r="D500" s="172">
        <f t="shared" ref="D500:Q500" si="87">SUM(D498:D499)</f>
        <v>8.85</v>
      </c>
      <c r="E500" s="172">
        <f t="shared" si="87"/>
        <v>16.55</v>
      </c>
      <c r="F500" s="172">
        <f t="shared" si="87"/>
        <v>38.049999999999997</v>
      </c>
      <c r="G500" s="172">
        <f t="shared" si="87"/>
        <v>335.35</v>
      </c>
      <c r="H500" s="172">
        <f t="shared" si="87"/>
        <v>0.42</v>
      </c>
      <c r="I500" s="172">
        <f t="shared" si="87"/>
        <v>20</v>
      </c>
      <c r="J500" s="172">
        <f t="shared" si="87"/>
        <v>6.5000000000000002E-2</v>
      </c>
      <c r="K500" s="172">
        <f t="shared" si="87"/>
        <v>2.7749999999999999</v>
      </c>
      <c r="L500" s="172">
        <f t="shared" si="87"/>
        <v>22.33</v>
      </c>
      <c r="M500" s="172">
        <f t="shared" si="87"/>
        <v>74.015000000000001</v>
      </c>
      <c r="N500" s="172">
        <f t="shared" si="87"/>
        <v>10.8</v>
      </c>
      <c r="O500" s="172">
        <f t="shared" si="87"/>
        <v>0.67500000000000004</v>
      </c>
      <c r="P500" s="170">
        <f t="shared" si="87"/>
        <v>0.03</v>
      </c>
      <c r="Q500" s="170">
        <f t="shared" si="87"/>
        <v>18.829999999999998</v>
      </c>
      <c r="R500" s="122"/>
      <c r="S500" s="122"/>
    </row>
    <row r="501" spans="1:24" s="4" customFormat="1" ht="18.75" customHeight="1" thickBot="1" x14ac:dyDescent="0.3">
      <c r="A501" s="194"/>
      <c r="B501" s="195" t="s">
        <v>7</v>
      </c>
      <c r="C501" s="201"/>
      <c r="D501" s="174">
        <f t="shared" ref="D501:Q501" si="88">D484+D496+D500</f>
        <v>44.491</v>
      </c>
      <c r="E501" s="174">
        <f t="shared" si="88"/>
        <v>61.827500000000001</v>
      </c>
      <c r="F501" s="174">
        <f t="shared" si="88"/>
        <v>248.61799999999999</v>
      </c>
      <c r="G501" s="175">
        <f t="shared" si="88"/>
        <v>1687.1059999999998</v>
      </c>
      <c r="H501" s="197">
        <f t="shared" si="88"/>
        <v>1.5270000000000001</v>
      </c>
      <c r="I501" s="174">
        <f t="shared" si="88"/>
        <v>182.76599999999999</v>
      </c>
      <c r="J501" s="174">
        <f t="shared" si="88"/>
        <v>0.30499999999999999</v>
      </c>
      <c r="K501" s="174">
        <f t="shared" si="88"/>
        <v>7.9979999999999993</v>
      </c>
      <c r="L501" s="174">
        <f t="shared" si="88"/>
        <v>455.04199999999997</v>
      </c>
      <c r="M501" s="174">
        <f t="shared" si="88"/>
        <v>618.38</v>
      </c>
      <c r="N501" s="174">
        <f t="shared" si="88"/>
        <v>306.87600000000003</v>
      </c>
      <c r="O501" s="198">
        <f t="shared" si="88"/>
        <v>14.913000000000004</v>
      </c>
      <c r="P501" s="198">
        <f t="shared" si="88"/>
        <v>0.88050000000000006</v>
      </c>
      <c r="Q501" s="198">
        <f t="shared" si="88"/>
        <v>41.98</v>
      </c>
      <c r="R501" s="199"/>
      <c r="S501" s="200"/>
    </row>
    <row r="502" spans="1:24" s="4" customFormat="1" ht="18.75" customHeight="1" thickBot="1" x14ac:dyDescent="0.3">
      <c r="A502" s="358" t="s">
        <v>61</v>
      </c>
      <c r="B502" s="359"/>
      <c r="C502" s="359"/>
      <c r="D502" s="359"/>
      <c r="E502" s="359"/>
      <c r="F502" s="359"/>
      <c r="G502" s="359"/>
      <c r="H502" s="359"/>
      <c r="I502" s="359"/>
      <c r="J502" s="359"/>
      <c r="K502" s="359"/>
      <c r="L502" s="359"/>
      <c r="M502" s="359"/>
      <c r="N502" s="359"/>
      <c r="O502" s="359"/>
      <c r="P502" s="359"/>
      <c r="Q502" s="359"/>
      <c r="R502" s="359"/>
      <c r="S502" s="360"/>
    </row>
    <row r="503" spans="1:24" s="4" customFormat="1" x14ac:dyDescent="0.25">
      <c r="A503" s="300" t="s">
        <v>3</v>
      </c>
      <c r="B503" s="301"/>
      <c r="C503" s="301"/>
      <c r="D503" s="301"/>
      <c r="E503" s="301"/>
      <c r="F503" s="301"/>
      <c r="G503" s="301"/>
      <c r="H503" s="301"/>
      <c r="I503" s="301"/>
      <c r="J503" s="301"/>
      <c r="K503" s="301"/>
      <c r="L503" s="301"/>
      <c r="M503" s="301"/>
      <c r="N503" s="301"/>
      <c r="O503" s="301"/>
      <c r="P503" s="301"/>
      <c r="Q503" s="301"/>
      <c r="R503" s="301"/>
      <c r="S503" s="347"/>
    </row>
    <row r="504" spans="1:24" s="63" customFormat="1" x14ac:dyDescent="0.2">
      <c r="A504" s="49">
        <v>1</v>
      </c>
      <c r="B504" s="47" t="s">
        <v>214</v>
      </c>
      <c r="C504" s="41">
        <v>150</v>
      </c>
      <c r="D504" s="42">
        <f>13.11*C504/100</f>
        <v>19.664999999999999</v>
      </c>
      <c r="E504" s="42">
        <f>25.08*C504/100</f>
        <v>37.619999999999997</v>
      </c>
      <c r="F504" s="42">
        <f>1.23*C504/100</f>
        <v>1.845</v>
      </c>
      <c r="G504" s="42">
        <f>284.2*C504/100</f>
        <v>426.3</v>
      </c>
      <c r="H504" s="42">
        <f>0.04*C504/100</f>
        <v>0.06</v>
      </c>
      <c r="I504" s="42">
        <f>1.3*C504/100</f>
        <v>1.95</v>
      </c>
      <c r="J504" s="42">
        <f>0.06*C504/100</f>
        <v>0.09</v>
      </c>
      <c r="K504" s="42">
        <f>0.13*C504/100</f>
        <v>0.19500000000000001</v>
      </c>
      <c r="L504" s="48">
        <f>150.84*C504/100</f>
        <v>226.26</v>
      </c>
      <c r="M504" s="48">
        <f>100.63*C504/100</f>
        <v>150.94499999999999</v>
      </c>
      <c r="N504" s="48">
        <f>8.9*C504/100</f>
        <v>13.35</v>
      </c>
      <c r="O504" s="42">
        <f>0.14*C504/100</f>
        <v>0.21000000000000005</v>
      </c>
      <c r="P504" s="49">
        <f>0.08*C504/100</f>
        <v>0.12</v>
      </c>
      <c r="Q504" s="49">
        <v>3.5</v>
      </c>
      <c r="R504" s="67">
        <v>120302</v>
      </c>
      <c r="S504" s="67"/>
    </row>
    <row r="505" spans="1:24" s="63" customFormat="1" x14ac:dyDescent="0.2">
      <c r="A505" s="49">
        <v>2</v>
      </c>
      <c r="B505" s="47" t="s">
        <v>147</v>
      </c>
      <c r="C505" s="59">
        <v>200</v>
      </c>
      <c r="D505" s="60">
        <f>0.1*C505/100</f>
        <v>0.2</v>
      </c>
      <c r="E505" s="60">
        <f>0.02*C505/100</f>
        <v>0.04</v>
      </c>
      <c r="F505" s="60">
        <f>5.11*C505/100</f>
        <v>10.220000000000001</v>
      </c>
      <c r="G505" s="42">
        <f>21.14*C505/100</f>
        <v>42.28</v>
      </c>
      <c r="H505" s="49">
        <f>C505*0/100</f>
        <v>0</v>
      </c>
      <c r="I505" s="49">
        <f>1.43*C505/100</f>
        <v>2.86</v>
      </c>
      <c r="J505" s="49">
        <f>C505*0/100000</f>
        <v>0</v>
      </c>
      <c r="K505" s="49">
        <f>C505*0.01/100</f>
        <v>0.02</v>
      </c>
      <c r="L505" s="48">
        <f>C505*7.87/100</f>
        <v>15.74</v>
      </c>
      <c r="M505" s="48">
        <f>C505*3.65/100</f>
        <v>7.3</v>
      </c>
      <c r="N505" s="48">
        <f>C505*2.98/100</f>
        <v>5.96</v>
      </c>
      <c r="O505" s="49">
        <f>C505*0.32/100</f>
        <v>0.64</v>
      </c>
      <c r="P505" s="49">
        <v>0</v>
      </c>
      <c r="Q505" s="49">
        <v>2.13</v>
      </c>
      <c r="R505" s="67">
        <v>160106</v>
      </c>
      <c r="S505" s="67"/>
    </row>
    <row r="506" spans="1:24" s="52" customFormat="1" x14ac:dyDescent="0.2">
      <c r="A506" s="49">
        <v>3</v>
      </c>
      <c r="B506" s="47" t="s">
        <v>239</v>
      </c>
      <c r="C506" s="41">
        <v>30</v>
      </c>
      <c r="D506" s="171">
        <f>10*C506/100</f>
        <v>3</v>
      </c>
      <c r="E506" s="171">
        <f>8*C506/100</f>
        <v>2.4</v>
      </c>
      <c r="F506" s="171">
        <f>9*C506/100</f>
        <v>2.7</v>
      </c>
      <c r="G506" s="171">
        <f>148*C506/100</f>
        <v>44.4</v>
      </c>
      <c r="H506" s="42">
        <v>0</v>
      </c>
      <c r="I506" s="42">
        <v>0</v>
      </c>
      <c r="J506" s="42">
        <v>0</v>
      </c>
      <c r="K506" s="42">
        <v>0</v>
      </c>
      <c r="L506" s="48">
        <f>22*C506/100</f>
        <v>6.6</v>
      </c>
      <c r="M506" s="48">
        <f>268*C506/100</f>
        <v>80.400000000000006</v>
      </c>
      <c r="N506" s="48">
        <f>35*C506/100</f>
        <v>10.5</v>
      </c>
      <c r="O506" s="42">
        <f>2.6*C506/100</f>
        <v>0.78</v>
      </c>
      <c r="P506" s="49">
        <v>0</v>
      </c>
      <c r="Q506" s="49">
        <v>0</v>
      </c>
      <c r="R506" s="67">
        <v>100101</v>
      </c>
      <c r="S506" s="67"/>
      <c r="T506" s="68"/>
      <c r="U506" s="68"/>
      <c r="V506" s="68"/>
      <c r="W506" s="68"/>
      <c r="X506" s="68"/>
    </row>
    <row r="507" spans="1:24" s="63" customFormat="1" x14ac:dyDescent="0.2">
      <c r="A507" s="49">
        <v>4</v>
      </c>
      <c r="B507" s="47" t="s">
        <v>160</v>
      </c>
      <c r="C507" s="41">
        <v>20</v>
      </c>
      <c r="D507" s="42">
        <f>7.76*C507/100</f>
        <v>1.5519999999999998</v>
      </c>
      <c r="E507" s="42">
        <f>2.65*C507/100</f>
        <v>0.53</v>
      </c>
      <c r="F507" s="42">
        <f>53.25*C507/100</f>
        <v>10.65</v>
      </c>
      <c r="G507" s="42">
        <f>273*C507/100</f>
        <v>54.6</v>
      </c>
      <c r="H507" s="42">
        <f>0.34*C507/100</f>
        <v>6.8000000000000005E-2</v>
      </c>
      <c r="I507" s="42">
        <f>0*C507/100</f>
        <v>0</v>
      </c>
      <c r="J507" s="42">
        <v>0</v>
      </c>
      <c r="K507" s="42">
        <f>1.5*C507/100</f>
        <v>0.3</v>
      </c>
      <c r="L507" s="48">
        <f>148.1*C507/100</f>
        <v>29.62</v>
      </c>
      <c r="M507" s="48">
        <f>0*C507/100</f>
        <v>0</v>
      </c>
      <c r="N507" s="48">
        <f>16*C507/100</f>
        <v>3.2</v>
      </c>
      <c r="O507" s="42">
        <f>2.4*C507/100</f>
        <v>0.48</v>
      </c>
      <c r="P507" s="56">
        <f>0.2*C507/100</f>
        <v>0.04</v>
      </c>
      <c r="Q507" s="56">
        <f>1.5*C507/100</f>
        <v>0.3</v>
      </c>
      <c r="R507" s="67">
        <v>200102</v>
      </c>
      <c r="S507" s="67"/>
    </row>
    <row r="508" spans="1:24" s="4" customFormat="1" x14ac:dyDescent="0.25">
      <c r="A508" s="49"/>
      <c r="B508" s="218" t="s">
        <v>4</v>
      </c>
      <c r="C508" s="120"/>
      <c r="D508" s="172">
        <f t="shared" ref="D508:Q508" si="89">SUM(D504:D507)</f>
        <v>24.416999999999998</v>
      </c>
      <c r="E508" s="172">
        <f t="shared" si="89"/>
        <v>40.589999999999996</v>
      </c>
      <c r="F508" s="172">
        <f t="shared" si="89"/>
        <v>25.414999999999999</v>
      </c>
      <c r="G508" s="172">
        <f t="shared" si="89"/>
        <v>567.58000000000004</v>
      </c>
      <c r="H508" s="172">
        <f t="shared" si="89"/>
        <v>0.128</v>
      </c>
      <c r="I508" s="172">
        <f t="shared" si="89"/>
        <v>4.8099999999999996</v>
      </c>
      <c r="J508" s="172">
        <f t="shared" si="89"/>
        <v>0.09</v>
      </c>
      <c r="K508" s="172">
        <f t="shared" si="89"/>
        <v>0.51500000000000001</v>
      </c>
      <c r="L508" s="172">
        <f t="shared" si="89"/>
        <v>278.21999999999997</v>
      </c>
      <c r="M508" s="172">
        <f t="shared" si="89"/>
        <v>238.64500000000001</v>
      </c>
      <c r="N508" s="172">
        <f t="shared" si="89"/>
        <v>33.01</v>
      </c>
      <c r="O508" s="172">
        <f t="shared" si="89"/>
        <v>2.1100000000000003</v>
      </c>
      <c r="P508" s="170">
        <f t="shared" si="89"/>
        <v>0.16</v>
      </c>
      <c r="Q508" s="170">
        <f t="shared" si="89"/>
        <v>5.93</v>
      </c>
      <c r="R508" s="122"/>
      <c r="S508" s="122"/>
    </row>
    <row r="509" spans="1:24" s="4" customFormat="1" x14ac:dyDescent="0.25">
      <c r="A509" s="300" t="s">
        <v>5</v>
      </c>
      <c r="B509" s="301"/>
      <c r="C509" s="301"/>
      <c r="D509" s="301"/>
      <c r="E509" s="301"/>
      <c r="F509" s="301"/>
      <c r="G509" s="301"/>
      <c r="H509" s="301"/>
      <c r="I509" s="301"/>
      <c r="J509" s="301"/>
      <c r="K509" s="301"/>
      <c r="L509" s="301"/>
      <c r="M509" s="301"/>
      <c r="N509" s="301"/>
      <c r="O509" s="301"/>
      <c r="P509" s="301"/>
      <c r="Q509" s="301"/>
      <c r="R509" s="301"/>
      <c r="S509" s="347"/>
    </row>
    <row r="510" spans="1:24" s="63" customFormat="1" x14ac:dyDescent="0.2">
      <c r="A510" s="49">
        <v>1</v>
      </c>
      <c r="B510" s="47" t="s">
        <v>64</v>
      </c>
      <c r="C510" s="182">
        <v>60</v>
      </c>
      <c r="D510" s="42">
        <f>1.07*C510/100</f>
        <v>0.64200000000000002</v>
      </c>
      <c r="E510" s="42">
        <f>15.15*C510/100</f>
        <v>9.09</v>
      </c>
      <c r="F510" s="42">
        <f>10.34*C510/100</f>
        <v>6.2039999999999997</v>
      </c>
      <c r="G510" s="42">
        <f>183.96*C510/100</f>
        <v>110.376</v>
      </c>
      <c r="H510" s="94">
        <f>0.03*C510/100</f>
        <v>1.7999999999999999E-2</v>
      </c>
      <c r="I510" s="94">
        <f>17.82*C510/100</f>
        <v>10.692</v>
      </c>
      <c r="J510" s="94">
        <v>0</v>
      </c>
      <c r="K510" s="94">
        <f>2.75*C510/100</f>
        <v>1.65</v>
      </c>
      <c r="L510" s="124">
        <f>33.21*C510/100</f>
        <v>19.926000000000002</v>
      </c>
      <c r="M510" s="124">
        <f>23.48*C510/100</f>
        <v>14.087999999999999</v>
      </c>
      <c r="N510" s="124">
        <f>14.02*C510/100</f>
        <v>8.411999999999999</v>
      </c>
      <c r="O510" s="94">
        <f>0.96*C510/100</f>
        <v>0.57599999999999996</v>
      </c>
      <c r="P510" s="49">
        <f>0.03*C510/100</f>
        <v>1.7999999999999999E-2</v>
      </c>
      <c r="Q510" s="49">
        <v>1.1299999999999999</v>
      </c>
      <c r="R510" s="67">
        <v>100504</v>
      </c>
      <c r="S510" s="67"/>
    </row>
    <row r="511" spans="1:24" s="63" customFormat="1" x14ac:dyDescent="0.2">
      <c r="A511" s="49">
        <v>2</v>
      </c>
      <c r="B511" s="47" t="s">
        <v>210</v>
      </c>
      <c r="C511" s="41">
        <v>250</v>
      </c>
      <c r="D511" s="42">
        <f>0.7*C511/100</f>
        <v>1.75</v>
      </c>
      <c r="E511" s="42">
        <f>1.5*C511/100</f>
        <v>3.75</v>
      </c>
      <c r="F511" s="42">
        <f>3.8*C511/100</f>
        <v>9.5</v>
      </c>
      <c r="G511" s="42">
        <f>31.5*C511/100</f>
        <v>78.75</v>
      </c>
      <c r="H511" s="42">
        <f>C511*0.01/100</f>
        <v>2.5000000000000001E-2</v>
      </c>
      <c r="I511" s="42">
        <f>1.23*C511/100</f>
        <v>3.0750000000000002</v>
      </c>
      <c r="J511" s="42">
        <f>0.01*C511/100</f>
        <v>2.5000000000000001E-2</v>
      </c>
      <c r="K511" s="42">
        <f>0.05*C511/100</f>
        <v>0.125</v>
      </c>
      <c r="L511" s="48">
        <f>C511*6.7/100</f>
        <v>16.75</v>
      </c>
      <c r="M511" s="48">
        <f>C511*33.69/100</f>
        <v>84.224999999999994</v>
      </c>
      <c r="N511" s="48">
        <f>C511*6.12/100</f>
        <v>15.3</v>
      </c>
      <c r="O511" s="42">
        <f>C511*0.81/100</f>
        <v>2.0249999999999999</v>
      </c>
      <c r="P511" s="49">
        <f>0.02*C511/100</f>
        <v>0.05</v>
      </c>
      <c r="Q511" s="49">
        <v>4</v>
      </c>
      <c r="R511" s="67">
        <v>110320</v>
      </c>
      <c r="S511" s="67">
        <v>110321</v>
      </c>
    </row>
    <row r="512" spans="1:24" s="63" customFormat="1" x14ac:dyDescent="0.2">
      <c r="A512" s="49">
        <v>3</v>
      </c>
      <c r="B512" s="47" t="s">
        <v>198</v>
      </c>
      <c r="C512" s="41">
        <v>100</v>
      </c>
      <c r="D512" s="42">
        <f>14*C512/100</f>
        <v>14</v>
      </c>
      <c r="E512" s="42">
        <f>7.1*C512/100</f>
        <v>7.1</v>
      </c>
      <c r="F512" s="42">
        <f>14.2*C512/100</f>
        <v>14.2</v>
      </c>
      <c r="G512" s="42">
        <f>176.7*C512/100</f>
        <v>176.7</v>
      </c>
      <c r="H512" s="42">
        <f>0.05*C512/100</f>
        <v>0.05</v>
      </c>
      <c r="I512" s="42">
        <f>2.59*C512/100</f>
        <v>2.59</v>
      </c>
      <c r="J512" s="42">
        <f>1.44*C512/100</f>
        <v>1.44</v>
      </c>
      <c r="K512" s="42">
        <f>1.27*C512/100</f>
        <v>1.27</v>
      </c>
      <c r="L512" s="48">
        <f>14.01*C512/100</f>
        <v>14.01</v>
      </c>
      <c r="M512" s="48">
        <f>129.66*C512/100</f>
        <v>129.66</v>
      </c>
      <c r="N512" s="48">
        <f>20.62*C512/100</f>
        <v>20.62</v>
      </c>
      <c r="O512" s="42">
        <f>1.75*C512/100</f>
        <v>1.75</v>
      </c>
      <c r="P512" s="49">
        <v>0.1</v>
      </c>
      <c r="Q512" s="49">
        <v>3.83</v>
      </c>
      <c r="R512" s="67">
        <v>120611</v>
      </c>
      <c r="S512" s="67">
        <v>120612</v>
      </c>
    </row>
    <row r="513" spans="1:19" s="63" customFormat="1" x14ac:dyDescent="0.2">
      <c r="A513" s="49">
        <v>4</v>
      </c>
      <c r="B513" s="47" t="s">
        <v>13</v>
      </c>
      <c r="C513" s="41">
        <v>30</v>
      </c>
      <c r="D513" s="60">
        <f>0.9*C513/100</f>
        <v>0.27</v>
      </c>
      <c r="E513" s="60">
        <f>4.5*C513/100</f>
        <v>1.35</v>
      </c>
      <c r="F513" s="60">
        <f>7.4*C513/100</f>
        <v>2.2200000000000002</v>
      </c>
      <c r="G513" s="60">
        <f>73.7*C513/100</f>
        <v>22.11</v>
      </c>
      <c r="H513" s="42">
        <v>8.9999999999999993E-3</v>
      </c>
      <c r="I513" s="42">
        <v>0.15</v>
      </c>
      <c r="J513" s="42">
        <v>6.0000000000000001E-3</v>
      </c>
      <c r="K513" s="42">
        <v>0.03</v>
      </c>
      <c r="L513" s="48">
        <v>46.05</v>
      </c>
      <c r="M513" s="48">
        <v>32.85</v>
      </c>
      <c r="N513" s="48">
        <v>5.0999999999999996</v>
      </c>
      <c r="O513" s="42">
        <v>0.03</v>
      </c>
      <c r="P513" s="49">
        <v>0.03</v>
      </c>
      <c r="Q513" s="49">
        <v>1.35</v>
      </c>
      <c r="R513" s="67">
        <v>140104</v>
      </c>
      <c r="S513" s="67">
        <v>140105</v>
      </c>
    </row>
    <row r="514" spans="1:19" s="63" customFormat="1" x14ac:dyDescent="0.2">
      <c r="A514" s="49">
        <v>5</v>
      </c>
      <c r="B514" s="47" t="s">
        <v>200</v>
      </c>
      <c r="C514" s="41">
        <v>150</v>
      </c>
      <c r="D514" s="42">
        <f>2.525*C514/100</f>
        <v>3.7875000000000001</v>
      </c>
      <c r="E514" s="42">
        <f>8.225*C514/100</f>
        <v>12.3375</v>
      </c>
      <c r="F514" s="42">
        <f>25.74*C514/100</f>
        <v>38.609999999999992</v>
      </c>
      <c r="G514" s="42">
        <f>187.1*C514/100</f>
        <v>280.64999999999998</v>
      </c>
      <c r="H514" s="42">
        <f>0.02*C514/100</f>
        <v>0.03</v>
      </c>
      <c r="I514" s="42">
        <f>1.35*C514/100</f>
        <v>2.0249999999999999</v>
      </c>
      <c r="J514" s="42">
        <f>0.02*C514/100</f>
        <v>0.03</v>
      </c>
      <c r="K514" s="42">
        <f>0.1*C514/100</f>
        <v>0.15</v>
      </c>
      <c r="L514" s="48">
        <f>2.63*C514/100</f>
        <v>3.9449999999999998</v>
      </c>
      <c r="M514" s="48">
        <f>41.57*C514/100</f>
        <v>62.354999999999997</v>
      </c>
      <c r="N514" s="48">
        <f>14.57*C514/100</f>
        <v>21.855</v>
      </c>
      <c r="O514" s="42">
        <f>0.43*C514/100</f>
        <v>0.64500000000000002</v>
      </c>
      <c r="P514" s="49">
        <f>0.02*C514/100</f>
        <v>0.03</v>
      </c>
      <c r="Q514" s="49">
        <v>0</v>
      </c>
      <c r="R514" s="67">
        <v>130307</v>
      </c>
      <c r="S514" s="67">
        <v>130308</v>
      </c>
    </row>
    <row r="515" spans="1:19" s="37" customFormat="1" x14ac:dyDescent="0.2">
      <c r="A515" s="49">
        <v>6</v>
      </c>
      <c r="B515" s="47" t="s">
        <v>131</v>
      </c>
      <c r="C515" s="41">
        <v>200</v>
      </c>
      <c r="D515" s="42">
        <f>0.62*C515/100</f>
        <v>1.24</v>
      </c>
      <c r="E515" s="42">
        <f>0.04*C515/100</f>
        <v>0.08</v>
      </c>
      <c r="F515" s="42">
        <f>12.06*C515/100</f>
        <v>24.12</v>
      </c>
      <c r="G515" s="42">
        <f>41.81*C515/100</f>
        <v>83.62</v>
      </c>
      <c r="H515" s="42">
        <f>0.01*C515/100</f>
        <v>0.02</v>
      </c>
      <c r="I515" s="42">
        <f>0.48*C515/100</f>
        <v>0.96</v>
      </c>
      <c r="J515" s="42">
        <f>0*C515/100</f>
        <v>0</v>
      </c>
      <c r="K515" s="42">
        <v>0</v>
      </c>
      <c r="L515" s="48">
        <f>23.8*C515/100</f>
        <v>47.6</v>
      </c>
      <c r="M515" s="48">
        <f>17.52*C515/100</f>
        <v>35.04</v>
      </c>
      <c r="N515" s="48">
        <f>13.6*C515/100</f>
        <v>27.2</v>
      </c>
      <c r="O515" s="42">
        <f>0.39*C515/100</f>
        <v>0.78</v>
      </c>
      <c r="P515" s="62">
        <f>0.02*C515/100</f>
        <v>0.04</v>
      </c>
      <c r="Q515" s="62">
        <v>2.3199999999999998</v>
      </c>
      <c r="R515" s="67">
        <v>160210</v>
      </c>
      <c r="S515" s="67"/>
    </row>
    <row r="516" spans="1:19" s="63" customFormat="1" x14ac:dyDescent="0.2">
      <c r="A516" s="49">
        <v>7</v>
      </c>
      <c r="B516" s="47" t="s">
        <v>160</v>
      </c>
      <c r="C516" s="41">
        <v>40</v>
      </c>
      <c r="D516" s="42">
        <f>7.76*C516/100</f>
        <v>3.1039999999999996</v>
      </c>
      <c r="E516" s="42">
        <f>2.65*C516/100</f>
        <v>1.06</v>
      </c>
      <c r="F516" s="42">
        <f>53.25*C516/100</f>
        <v>21.3</v>
      </c>
      <c r="G516" s="42">
        <f>273*C516/100</f>
        <v>109.2</v>
      </c>
      <c r="H516" s="42">
        <f>0.34*C516/100</f>
        <v>0.13600000000000001</v>
      </c>
      <c r="I516" s="42">
        <f>0*C516/100</f>
        <v>0</v>
      </c>
      <c r="J516" s="42">
        <v>0</v>
      </c>
      <c r="K516" s="42">
        <f>1.5*C516/100</f>
        <v>0.6</v>
      </c>
      <c r="L516" s="48">
        <f>148.1*C516/100</f>
        <v>59.24</v>
      </c>
      <c r="M516" s="48">
        <f>0*C516/100</f>
        <v>0</v>
      </c>
      <c r="N516" s="48">
        <f>16*C516/100</f>
        <v>6.4</v>
      </c>
      <c r="O516" s="42">
        <f>2.4*C516/100</f>
        <v>0.96</v>
      </c>
      <c r="P516" s="56">
        <f>0.2*C516/100</f>
        <v>0.08</v>
      </c>
      <c r="Q516" s="56">
        <f>1.5*C516/100</f>
        <v>0.6</v>
      </c>
      <c r="R516" s="67">
        <v>200102</v>
      </c>
      <c r="S516" s="67"/>
    </row>
    <row r="517" spans="1:19" s="63" customFormat="1" x14ac:dyDescent="0.2">
      <c r="A517" s="49">
        <v>8</v>
      </c>
      <c r="B517" s="47" t="s">
        <v>159</v>
      </c>
      <c r="C517" s="41">
        <v>20</v>
      </c>
      <c r="D517" s="42">
        <f>5.86*C517/100</f>
        <v>1.1719999999999999</v>
      </c>
      <c r="E517" s="42">
        <f>0.94*C517/100</f>
        <v>0.18799999999999997</v>
      </c>
      <c r="F517" s="42">
        <f>44.4*C517/100</f>
        <v>8.8800000000000008</v>
      </c>
      <c r="G517" s="42">
        <f>189*C517/100</f>
        <v>37.799999999999997</v>
      </c>
      <c r="H517" s="42">
        <f>0.4*C517/100</f>
        <v>0.08</v>
      </c>
      <c r="I517" s="42">
        <f>0.03*C517/100</f>
        <v>6.0000000000000001E-3</v>
      </c>
      <c r="J517" s="42">
        <v>0</v>
      </c>
      <c r="K517" s="42">
        <f>1.7*C517/100</f>
        <v>0.34</v>
      </c>
      <c r="L517" s="48">
        <f>25.4*C517/100</f>
        <v>5.08</v>
      </c>
      <c r="M517" s="48">
        <f>105.53*C517/100</f>
        <v>21.105999999999998</v>
      </c>
      <c r="N517" s="48">
        <f>36.5*C517/100</f>
        <v>7.3</v>
      </c>
      <c r="O517" s="42">
        <f>2.45*C517/100</f>
        <v>0.49</v>
      </c>
      <c r="P517" s="56">
        <f>0.2*C517/100</f>
        <v>0.04</v>
      </c>
      <c r="Q517" s="56">
        <f>10*C517/100</f>
        <v>2</v>
      </c>
      <c r="R517" s="67">
        <v>200103</v>
      </c>
      <c r="S517" s="67"/>
    </row>
    <row r="518" spans="1:19" s="4" customFormat="1" ht="42" customHeight="1" x14ac:dyDescent="0.25">
      <c r="A518" s="49"/>
      <c r="B518" s="218" t="s">
        <v>4</v>
      </c>
      <c r="C518" s="120"/>
      <c r="D518" s="170">
        <f t="shared" ref="D518:Q518" si="90">SUM(D510:D517)</f>
        <v>25.965499999999999</v>
      </c>
      <c r="E518" s="170">
        <f t="shared" si="90"/>
        <v>34.955500000000001</v>
      </c>
      <c r="F518" s="170">
        <f t="shared" si="90"/>
        <v>125.03399999999999</v>
      </c>
      <c r="G518" s="170">
        <f t="shared" si="90"/>
        <v>899.20600000000002</v>
      </c>
      <c r="H518" s="170">
        <f t="shared" si="90"/>
        <v>0.36800000000000005</v>
      </c>
      <c r="I518" s="170">
        <f t="shared" si="90"/>
        <v>19.497999999999998</v>
      </c>
      <c r="J518" s="170">
        <f t="shared" si="90"/>
        <v>1.5009999999999999</v>
      </c>
      <c r="K518" s="170">
        <f t="shared" si="90"/>
        <v>4.165</v>
      </c>
      <c r="L518" s="170">
        <f t="shared" si="90"/>
        <v>212.601</v>
      </c>
      <c r="M518" s="170">
        <f t="shared" si="90"/>
        <v>379.32400000000001</v>
      </c>
      <c r="N518" s="170">
        <f t="shared" si="90"/>
        <v>112.18700000000001</v>
      </c>
      <c r="O518" s="170">
        <f t="shared" si="90"/>
        <v>7.2560000000000002</v>
      </c>
      <c r="P518" s="170">
        <f t="shared" si="90"/>
        <v>0.38800000000000001</v>
      </c>
      <c r="Q518" s="170">
        <f t="shared" si="90"/>
        <v>15.23</v>
      </c>
      <c r="R518" s="122"/>
      <c r="S518" s="122"/>
    </row>
    <row r="519" spans="1:19" s="4" customFormat="1" ht="18.75" customHeight="1" x14ac:dyDescent="0.25">
      <c r="A519" s="300" t="s">
        <v>35</v>
      </c>
      <c r="B519" s="301"/>
      <c r="C519" s="301"/>
      <c r="D519" s="301"/>
      <c r="E519" s="301"/>
      <c r="F519" s="301"/>
      <c r="G519" s="301"/>
      <c r="H519" s="301"/>
      <c r="I519" s="301"/>
      <c r="J519" s="301"/>
      <c r="K519" s="301"/>
      <c r="L519" s="301"/>
      <c r="M519" s="301"/>
      <c r="N519" s="301"/>
      <c r="O519" s="301"/>
      <c r="P519" s="301"/>
      <c r="Q519" s="301"/>
      <c r="R519" s="301"/>
      <c r="S519" s="347"/>
    </row>
    <row r="520" spans="1:19" s="63" customFormat="1" x14ac:dyDescent="0.2">
      <c r="A520" s="49">
        <v>1</v>
      </c>
      <c r="B520" s="47" t="s">
        <v>259</v>
      </c>
      <c r="C520" s="41">
        <v>50</v>
      </c>
      <c r="D520" s="94">
        <f>11.4*C520/100</f>
        <v>5.7</v>
      </c>
      <c r="E520" s="94">
        <f>6.2*C520/100</f>
        <v>3.1</v>
      </c>
      <c r="F520" s="94">
        <f>54.8*C520/100</f>
        <v>27.4</v>
      </c>
      <c r="G520" s="94">
        <f>321*C520/100</f>
        <v>160.5</v>
      </c>
      <c r="H520" s="42">
        <f>0.17*C520/100</f>
        <v>8.5000000000000006E-2</v>
      </c>
      <c r="I520" s="42">
        <f>3.2*C520/100</f>
        <v>1.6</v>
      </c>
      <c r="J520" s="42">
        <f>0.02*C520/100</f>
        <v>0.01</v>
      </c>
      <c r="K520" s="42">
        <f>1*C520/100</f>
        <v>0.5</v>
      </c>
      <c r="L520" s="48">
        <f>12.46*C520/100</f>
        <v>6.23</v>
      </c>
      <c r="M520" s="48">
        <f>55.81*C520/100</f>
        <v>27.905000000000001</v>
      </c>
      <c r="N520" s="48">
        <f>10.75*C520/100</f>
        <v>5.375</v>
      </c>
      <c r="O520" s="42">
        <f>0.82*C520/100</f>
        <v>0.41</v>
      </c>
      <c r="P520" s="49">
        <f>0.04*C520/100</f>
        <v>0.02</v>
      </c>
      <c r="Q520" s="49">
        <v>0.87</v>
      </c>
      <c r="R520" s="67">
        <v>190102</v>
      </c>
      <c r="S520" s="67">
        <v>190103</v>
      </c>
    </row>
    <row r="521" spans="1:19" s="52" customFormat="1" x14ac:dyDescent="0.2">
      <c r="A521" s="49">
        <v>2</v>
      </c>
      <c r="B521" s="47" t="s">
        <v>281</v>
      </c>
      <c r="C521" s="41">
        <v>200</v>
      </c>
      <c r="D521" s="94">
        <f>2.8*C521/100</f>
        <v>5.6</v>
      </c>
      <c r="E521" s="94">
        <v>6.4</v>
      </c>
      <c r="F521" s="94">
        <v>8.1999999999999993</v>
      </c>
      <c r="G521" s="94">
        <v>112</v>
      </c>
      <c r="H521" s="42">
        <f>0.04*C521/100</f>
        <v>0.08</v>
      </c>
      <c r="I521" s="42">
        <f>0.6*C521/100</f>
        <v>1.2</v>
      </c>
      <c r="J521" s="42">
        <v>0.04</v>
      </c>
      <c r="K521" s="42">
        <f>0*C521/100</f>
        <v>0</v>
      </c>
      <c r="L521" s="48">
        <v>240</v>
      </c>
      <c r="M521" s="48">
        <f>96*C521/100</f>
        <v>192</v>
      </c>
      <c r="N521" s="48">
        <f>15*C521/100</f>
        <v>30</v>
      </c>
      <c r="O521" s="42">
        <v>0.2</v>
      </c>
      <c r="P521" s="49">
        <v>0.2</v>
      </c>
      <c r="Q521" s="49">
        <v>9</v>
      </c>
      <c r="R521" s="67">
        <v>230103</v>
      </c>
      <c r="S521" s="67"/>
    </row>
    <row r="522" spans="1:19" s="4" customFormat="1" ht="18.75" customHeight="1" x14ac:dyDescent="0.25">
      <c r="A522" s="49"/>
      <c r="B522" s="218" t="s">
        <v>4</v>
      </c>
      <c r="C522" s="120"/>
      <c r="D522" s="172">
        <f t="shared" ref="D522:Q522" si="91">SUM(D520:D521)</f>
        <v>11.3</v>
      </c>
      <c r="E522" s="172">
        <f t="shared" si="91"/>
        <v>9.5</v>
      </c>
      <c r="F522" s="172">
        <f t="shared" si="91"/>
        <v>35.599999999999994</v>
      </c>
      <c r="G522" s="172">
        <f t="shared" si="91"/>
        <v>272.5</v>
      </c>
      <c r="H522" s="172">
        <f t="shared" si="91"/>
        <v>0.16500000000000001</v>
      </c>
      <c r="I522" s="172">
        <f t="shared" si="91"/>
        <v>2.8</v>
      </c>
      <c r="J522" s="172">
        <f t="shared" si="91"/>
        <v>0.05</v>
      </c>
      <c r="K522" s="172">
        <f t="shared" si="91"/>
        <v>0.5</v>
      </c>
      <c r="L522" s="172">
        <f t="shared" si="91"/>
        <v>246.23</v>
      </c>
      <c r="M522" s="172">
        <f t="shared" si="91"/>
        <v>219.905</v>
      </c>
      <c r="N522" s="172">
        <f t="shared" si="91"/>
        <v>35.375</v>
      </c>
      <c r="O522" s="172">
        <f t="shared" si="91"/>
        <v>0.61</v>
      </c>
      <c r="P522" s="170">
        <f t="shared" si="91"/>
        <v>0.22</v>
      </c>
      <c r="Q522" s="170">
        <f t="shared" si="91"/>
        <v>9.8699999999999992</v>
      </c>
      <c r="R522" s="122"/>
      <c r="S522" s="122"/>
    </row>
    <row r="523" spans="1:19" s="4" customFormat="1" ht="18.75" customHeight="1" x14ac:dyDescent="0.25">
      <c r="A523" s="49"/>
      <c r="B523" s="218" t="s">
        <v>7</v>
      </c>
      <c r="C523" s="120"/>
      <c r="D523" s="170">
        <f t="shared" ref="D523:Q523" si="92">D508+D518+D522</f>
        <v>61.68249999999999</v>
      </c>
      <c r="E523" s="170">
        <f t="shared" si="92"/>
        <v>85.045500000000004</v>
      </c>
      <c r="F523" s="170">
        <f t="shared" si="92"/>
        <v>186.04899999999998</v>
      </c>
      <c r="G523" s="170">
        <f t="shared" si="92"/>
        <v>1739.2860000000001</v>
      </c>
      <c r="H523" s="170">
        <f t="shared" si="92"/>
        <v>0.66100000000000003</v>
      </c>
      <c r="I523" s="170">
        <f t="shared" si="92"/>
        <v>27.107999999999997</v>
      </c>
      <c r="J523" s="170">
        <f t="shared" si="92"/>
        <v>1.641</v>
      </c>
      <c r="K523" s="170">
        <f t="shared" si="92"/>
        <v>5.18</v>
      </c>
      <c r="L523" s="170">
        <f t="shared" si="92"/>
        <v>737.05099999999993</v>
      </c>
      <c r="M523" s="170">
        <f t="shared" si="92"/>
        <v>837.87400000000002</v>
      </c>
      <c r="N523" s="170">
        <f t="shared" si="92"/>
        <v>180.572</v>
      </c>
      <c r="O523" s="170">
        <f t="shared" si="92"/>
        <v>9.9759999999999991</v>
      </c>
      <c r="P523" s="170">
        <f t="shared" si="92"/>
        <v>0.76800000000000002</v>
      </c>
      <c r="Q523" s="170">
        <f t="shared" si="92"/>
        <v>31.03</v>
      </c>
      <c r="R523" s="122"/>
      <c r="S523" s="122"/>
    </row>
    <row r="524" spans="1:19" s="4" customFormat="1" ht="18.75" customHeight="1" thickBot="1" x14ac:dyDescent="0.3">
      <c r="A524" s="344" t="s">
        <v>62</v>
      </c>
      <c r="B524" s="345"/>
      <c r="C524" s="345"/>
      <c r="D524" s="345"/>
      <c r="E524" s="345"/>
      <c r="F524" s="345"/>
      <c r="G524" s="345"/>
      <c r="H524" s="345"/>
      <c r="I524" s="345"/>
      <c r="J524" s="345"/>
      <c r="K524" s="345"/>
      <c r="L524" s="345"/>
      <c r="M524" s="345"/>
      <c r="N524" s="345"/>
      <c r="O524" s="345"/>
      <c r="P524" s="345"/>
      <c r="Q524" s="345"/>
      <c r="R524" s="345"/>
      <c r="S524" s="348"/>
    </row>
    <row r="525" spans="1:19" s="4" customFormat="1" ht="18.75" customHeight="1" x14ac:dyDescent="0.25">
      <c r="A525" s="304" t="s">
        <v>3</v>
      </c>
      <c r="B525" s="305"/>
      <c r="C525" s="305"/>
      <c r="D525" s="305"/>
      <c r="E525" s="305"/>
      <c r="F525" s="305"/>
      <c r="G525" s="305"/>
      <c r="H525" s="305"/>
      <c r="I525" s="305"/>
      <c r="J525" s="305"/>
      <c r="K525" s="305"/>
      <c r="L525" s="305"/>
      <c r="M525" s="305"/>
      <c r="N525" s="305"/>
      <c r="O525" s="305"/>
      <c r="P525" s="305"/>
      <c r="Q525" s="305"/>
      <c r="R525" s="305"/>
      <c r="S525" s="346"/>
    </row>
    <row r="526" spans="1:19" s="64" customFormat="1" ht="19.5" customHeight="1" x14ac:dyDescent="0.3">
      <c r="A526" s="49">
        <v>1</v>
      </c>
      <c r="B526" s="47" t="s">
        <v>226</v>
      </c>
      <c r="C526" s="41">
        <v>150</v>
      </c>
      <c r="D526" s="116">
        <f>15.4*C526/100</f>
        <v>23.1</v>
      </c>
      <c r="E526" s="116">
        <f>4.1*C526/100</f>
        <v>6.15</v>
      </c>
      <c r="F526" s="116">
        <f>16.2*C526/100</f>
        <v>24.3</v>
      </c>
      <c r="G526" s="116">
        <f>142.8*C526/100</f>
        <v>214.2</v>
      </c>
      <c r="H526" s="42">
        <f>C526*0.05/100</f>
        <v>7.4999999999999997E-2</v>
      </c>
      <c r="I526" s="42">
        <f>0.21*C526/100</f>
        <v>0.315</v>
      </c>
      <c r="J526" s="42">
        <f>C526*0.05/100</f>
        <v>7.4999999999999997E-2</v>
      </c>
      <c r="K526" s="42">
        <f>C526*0.35/100</f>
        <v>0.52500000000000002</v>
      </c>
      <c r="L526" s="42">
        <f>C526*129.32/100</f>
        <v>193.98</v>
      </c>
      <c r="M526" s="42">
        <f>C526*183.98/100</f>
        <v>275.97000000000003</v>
      </c>
      <c r="N526" s="42">
        <f>C526*21.41/100</f>
        <v>32.115000000000002</v>
      </c>
      <c r="O526" s="42">
        <f>C526*0.62/100</f>
        <v>0.93</v>
      </c>
      <c r="P526" s="128">
        <f>0.22*C526/100</f>
        <v>0.33</v>
      </c>
      <c r="Q526" s="128">
        <v>22.98</v>
      </c>
      <c r="R526" s="232">
        <v>120311</v>
      </c>
      <c r="S526" s="122">
        <v>120312</v>
      </c>
    </row>
    <row r="527" spans="1:19" s="64" customFormat="1" ht="19.5" customHeight="1" x14ac:dyDescent="0.3">
      <c r="A527" s="49">
        <v>2</v>
      </c>
      <c r="B527" s="47" t="s">
        <v>141</v>
      </c>
      <c r="C527" s="41">
        <v>30</v>
      </c>
      <c r="D527" s="116">
        <f>7.5*C527/100</f>
        <v>2.25</v>
      </c>
      <c r="E527" s="116">
        <f>5*C527/100</f>
        <v>1.5</v>
      </c>
      <c r="F527" s="116">
        <f>55.2*C527/100</f>
        <v>16.559999999999999</v>
      </c>
      <c r="G527" s="116">
        <f>295*C527/100</f>
        <v>88.5</v>
      </c>
      <c r="H527" s="42">
        <f>0.06*C527/100</f>
        <v>1.7999999999999999E-2</v>
      </c>
      <c r="I527" s="42">
        <f>1*C527/100</f>
        <v>0.3</v>
      </c>
      <c r="J527" s="42">
        <f>0.04*C527/100</f>
        <v>1.2E-2</v>
      </c>
      <c r="K527" s="42">
        <f>0.2*C527/100</f>
        <v>0.06</v>
      </c>
      <c r="L527" s="42">
        <f>307*C527/100</f>
        <v>92.1</v>
      </c>
      <c r="M527" s="42">
        <f>219*C527/100</f>
        <v>65.7</v>
      </c>
      <c r="N527" s="42">
        <f>34*C527/100</f>
        <v>10.199999999999999</v>
      </c>
      <c r="O527" s="42">
        <f>0.2*C527/100</f>
        <v>0.06</v>
      </c>
      <c r="P527" s="128">
        <f>0.38*C527/100</f>
        <v>0.114</v>
      </c>
      <c r="Q527" s="128">
        <f>9*C527/100</f>
        <v>2.7</v>
      </c>
      <c r="R527" s="131">
        <v>140201</v>
      </c>
      <c r="S527" s="122"/>
    </row>
    <row r="528" spans="1:19" s="63" customFormat="1" x14ac:dyDescent="0.2">
      <c r="A528" s="49">
        <v>3</v>
      </c>
      <c r="B528" s="47" t="s">
        <v>233</v>
      </c>
      <c r="C528" s="41">
        <v>200</v>
      </c>
      <c r="D528" s="171">
        <f>0*C528/100</f>
        <v>0</v>
      </c>
      <c r="E528" s="171">
        <f>0*C528/100</f>
        <v>0</v>
      </c>
      <c r="F528" s="171">
        <f>0*C528/100</f>
        <v>0</v>
      </c>
      <c r="G528" s="171">
        <f>17*C528/100</f>
        <v>34</v>
      </c>
      <c r="H528" s="42">
        <v>0</v>
      </c>
      <c r="I528" s="42">
        <v>0</v>
      </c>
      <c r="J528" s="42">
        <v>0</v>
      </c>
      <c r="K528" s="42">
        <v>0</v>
      </c>
      <c r="L528" s="48">
        <v>4.8600000000000003</v>
      </c>
      <c r="M528" s="48">
        <v>0</v>
      </c>
      <c r="N528" s="48">
        <v>1.08</v>
      </c>
      <c r="O528" s="42">
        <v>0</v>
      </c>
      <c r="P528" s="49">
        <v>0</v>
      </c>
      <c r="Q528" s="49">
        <v>0</v>
      </c>
      <c r="R528" s="67">
        <v>160107</v>
      </c>
      <c r="S528" s="67"/>
    </row>
    <row r="529" spans="1:19" s="63" customFormat="1" x14ac:dyDescent="0.3">
      <c r="A529" s="49">
        <v>4</v>
      </c>
      <c r="B529" s="47" t="s">
        <v>140</v>
      </c>
      <c r="C529" s="41">
        <v>10</v>
      </c>
      <c r="D529" s="171">
        <f>0*C529/100</f>
        <v>0</v>
      </c>
      <c r="E529" s="171">
        <f>0*C529/100</f>
        <v>0</v>
      </c>
      <c r="F529" s="171">
        <f>99.8*C529/100</f>
        <v>9.98</v>
      </c>
      <c r="G529" s="171">
        <f>374.3*C529/100</f>
        <v>37.43</v>
      </c>
      <c r="H529" s="42">
        <v>0</v>
      </c>
      <c r="I529" s="42">
        <v>0</v>
      </c>
      <c r="J529" s="42">
        <v>0</v>
      </c>
      <c r="K529" s="42">
        <v>0</v>
      </c>
      <c r="L529" s="42">
        <v>0.2</v>
      </c>
      <c r="M529" s="42">
        <v>0</v>
      </c>
      <c r="N529" s="42">
        <v>0</v>
      </c>
      <c r="O529" s="42">
        <v>0.03</v>
      </c>
      <c r="P529" s="55">
        <v>0</v>
      </c>
      <c r="Q529" s="55">
        <v>0</v>
      </c>
      <c r="R529" s="67"/>
      <c r="S529" s="67"/>
    </row>
    <row r="530" spans="1:19" s="63" customFormat="1" x14ac:dyDescent="0.2">
      <c r="A530" s="49">
        <v>5</v>
      </c>
      <c r="B530" s="47" t="s">
        <v>160</v>
      </c>
      <c r="C530" s="41">
        <v>20</v>
      </c>
      <c r="D530" s="42">
        <f>7.76*C530/100</f>
        <v>1.5519999999999998</v>
      </c>
      <c r="E530" s="42">
        <f>2.65*C530/100</f>
        <v>0.53</v>
      </c>
      <c r="F530" s="42">
        <f>53.25*C530/100</f>
        <v>10.65</v>
      </c>
      <c r="G530" s="42">
        <f>273*C530/100</f>
        <v>54.6</v>
      </c>
      <c r="H530" s="42">
        <f>0.34*C530/100</f>
        <v>6.8000000000000005E-2</v>
      </c>
      <c r="I530" s="42">
        <f>0*C530/100</f>
        <v>0</v>
      </c>
      <c r="J530" s="42">
        <v>0</v>
      </c>
      <c r="K530" s="42">
        <f>1.5*C530/100</f>
        <v>0.3</v>
      </c>
      <c r="L530" s="48">
        <f>148.1*C530/100</f>
        <v>29.62</v>
      </c>
      <c r="M530" s="48">
        <f>0*C530/100</f>
        <v>0</v>
      </c>
      <c r="N530" s="48">
        <f>16*C530/100</f>
        <v>3.2</v>
      </c>
      <c r="O530" s="42">
        <f>2.4*C530/100</f>
        <v>0.48</v>
      </c>
      <c r="P530" s="56">
        <f>0.2*C530/100</f>
        <v>0.04</v>
      </c>
      <c r="Q530" s="56">
        <f>1.5*C530/100</f>
        <v>0.3</v>
      </c>
      <c r="R530" s="67">
        <v>200102</v>
      </c>
      <c r="S530" s="67"/>
    </row>
    <row r="531" spans="1:19" s="63" customFormat="1" ht="37.5" x14ac:dyDescent="0.2">
      <c r="A531" s="49">
        <v>6</v>
      </c>
      <c r="B531" s="47" t="s">
        <v>164</v>
      </c>
      <c r="C531" s="41">
        <v>10</v>
      </c>
      <c r="D531" s="42">
        <f>0.5*C531/100</f>
        <v>0.05</v>
      </c>
      <c r="E531" s="42">
        <f>82.5*C531/100</f>
        <v>8.25</v>
      </c>
      <c r="F531" s="42">
        <f>0.8*C531/100</f>
        <v>0.08</v>
      </c>
      <c r="G531" s="42">
        <f>748*C531/100</f>
        <v>74.8</v>
      </c>
      <c r="H531" s="42">
        <v>0</v>
      </c>
      <c r="I531" s="42">
        <v>0</v>
      </c>
      <c r="J531" s="42">
        <f>0.4*C531/100</f>
        <v>0.04</v>
      </c>
      <c r="K531" s="42">
        <f>1*C531/100</f>
        <v>0.1</v>
      </c>
      <c r="L531" s="48">
        <f>12*C531/100</f>
        <v>1.2</v>
      </c>
      <c r="M531" s="48">
        <f>19*C531/100</f>
        <v>1.9</v>
      </c>
      <c r="N531" s="48">
        <f>0*C531/100</f>
        <v>0</v>
      </c>
      <c r="O531" s="42">
        <f>0.2*C531/100</f>
        <v>0.02</v>
      </c>
      <c r="P531" s="56">
        <f>0.1*C531/100</f>
        <v>0.01</v>
      </c>
      <c r="Q531" s="49">
        <v>0</v>
      </c>
      <c r="R531" s="67"/>
      <c r="S531" s="67"/>
    </row>
    <row r="532" spans="1:19" s="37" customFormat="1" x14ac:dyDescent="0.2">
      <c r="A532" s="49">
        <v>7</v>
      </c>
      <c r="B532" s="47" t="s">
        <v>232</v>
      </c>
      <c r="C532" s="41" t="s">
        <v>274</v>
      </c>
      <c r="D532" s="42">
        <v>1.36</v>
      </c>
      <c r="E532" s="42">
        <v>0.34</v>
      </c>
      <c r="F532" s="42">
        <v>13.77</v>
      </c>
      <c r="G532" s="42">
        <v>73.099999999999994</v>
      </c>
      <c r="H532" s="42">
        <v>6.8000000000000005E-2</v>
      </c>
      <c r="I532" s="42">
        <v>102</v>
      </c>
      <c r="J532" s="42">
        <v>0</v>
      </c>
      <c r="K532" s="42">
        <v>0.34</v>
      </c>
      <c r="L532" s="48">
        <v>57.8</v>
      </c>
      <c r="M532" s="48">
        <v>39.1</v>
      </c>
      <c r="N532" s="48">
        <v>22.1</v>
      </c>
      <c r="O532" s="42">
        <v>0</v>
      </c>
      <c r="P532" s="49">
        <v>5.0999999999999997E-2</v>
      </c>
      <c r="Q532" s="49">
        <v>2</v>
      </c>
      <c r="R532" s="67">
        <v>210102</v>
      </c>
      <c r="S532" s="67"/>
    </row>
    <row r="533" spans="1:19" s="4" customFormat="1" x14ac:dyDescent="0.25">
      <c r="A533" s="49"/>
      <c r="B533" s="218" t="s">
        <v>4</v>
      </c>
      <c r="C533" s="120"/>
      <c r="D533" s="172">
        <f t="shared" ref="D533:Q533" si="93">SUM(D526:D532)</f>
        <v>28.312000000000001</v>
      </c>
      <c r="E533" s="172">
        <f t="shared" si="93"/>
        <v>16.77</v>
      </c>
      <c r="F533" s="172">
        <f t="shared" si="93"/>
        <v>75.34</v>
      </c>
      <c r="G533" s="172">
        <f t="shared" si="93"/>
        <v>576.63</v>
      </c>
      <c r="H533" s="172">
        <f t="shared" si="93"/>
        <v>0.22900000000000001</v>
      </c>
      <c r="I533" s="172">
        <f t="shared" si="93"/>
        <v>102.61499999999999</v>
      </c>
      <c r="J533" s="172">
        <f t="shared" si="93"/>
        <v>0.127</v>
      </c>
      <c r="K533" s="172">
        <f t="shared" si="93"/>
        <v>1.325</v>
      </c>
      <c r="L533" s="172">
        <f t="shared" si="93"/>
        <v>379.76</v>
      </c>
      <c r="M533" s="172">
        <f t="shared" si="93"/>
        <v>382.67</v>
      </c>
      <c r="N533" s="172">
        <f t="shared" si="93"/>
        <v>68.694999999999993</v>
      </c>
      <c r="O533" s="172">
        <f t="shared" si="93"/>
        <v>1.52</v>
      </c>
      <c r="P533" s="170">
        <f t="shared" si="93"/>
        <v>0.54500000000000004</v>
      </c>
      <c r="Q533" s="170">
        <f t="shared" si="93"/>
        <v>27.98</v>
      </c>
      <c r="R533" s="122"/>
      <c r="S533" s="122"/>
    </row>
    <row r="534" spans="1:19" s="4" customFormat="1" ht="21" customHeight="1" x14ac:dyDescent="0.25">
      <c r="A534" s="300" t="s">
        <v>5</v>
      </c>
      <c r="B534" s="301"/>
      <c r="C534" s="301"/>
      <c r="D534" s="301"/>
      <c r="E534" s="301"/>
      <c r="F534" s="301"/>
      <c r="G534" s="301"/>
      <c r="H534" s="301"/>
      <c r="I534" s="301"/>
      <c r="J534" s="301"/>
      <c r="K534" s="301"/>
      <c r="L534" s="301"/>
      <c r="M534" s="301"/>
      <c r="N534" s="301"/>
      <c r="O534" s="301"/>
      <c r="P534" s="301"/>
      <c r="Q534" s="301"/>
      <c r="R534" s="301"/>
      <c r="S534" s="347"/>
    </row>
    <row r="535" spans="1:19" s="63" customFormat="1" x14ac:dyDescent="0.2">
      <c r="A535" s="49">
        <v>1</v>
      </c>
      <c r="B535" s="47" t="s">
        <v>218</v>
      </c>
      <c r="C535" s="41">
        <v>60</v>
      </c>
      <c r="D535" s="42">
        <f>0.8*C535/100</f>
        <v>0.48</v>
      </c>
      <c r="E535" s="42">
        <f>0.1*C535/100</f>
        <v>0.06</v>
      </c>
      <c r="F535" s="42">
        <f>1.7*C535/100</f>
        <v>1.02</v>
      </c>
      <c r="G535" s="42">
        <f>13*C535/100</f>
        <v>7.8</v>
      </c>
      <c r="H535" s="42">
        <f>0.02*$C535/100</f>
        <v>1.2E-2</v>
      </c>
      <c r="I535" s="42">
        <f>5*$C535/100</f>
        <v>3</v>
      </c>
      <c r="J535" s="42">
        <f>0*$C535/100</f>
        <v>0</v>
      </c>
      <c r="K535" s="42">
        <f>0*$C535/100</f>
        <v>0</v>
      </c>
      <c r="L535" s="48">
        <f>23*$C535/100</f>
        <v>13.8</v>
      </c>
      <c r="M535" s="48">
        <f>24*$C535/100</f>
        <v>14.4</v>
      </c>
      <c r="N535" s="48">
        <f>14*$C535/100</f>
        <v>8.4</v>
      </c>
      <c r="O535" s="42">
        <f>0.6*$C535/100</f>
        <v>0.36</v>
      </c>
      <c r="P535" s="49">
        <f>0.02*C535/100</f>
        <v>1.2E-2</v>
      </c>
      <c r="Q535" s="49">
        <v>4.32</v>
      </c>
      <c r="R535" s="67">
        <v>100503</v>
      </c>
      <c r="S535" s="67"/>
    </row>
    <row r="536" spans="1:19" s="63" customFormat="1" x14ac:dyDescent="0.2">
      <c r="A536" s="49">
        <v>2</v>
      </c>
      <c r="B536" s="47" t="s">
        <v>40</v>
      </c>
      <c r="C536" s="41">
        <v>250</v>
      </c>
      <c r="D536" s="42">
        <f>1.2*C536/100</f>
        <v>3</v>
      </c>
      <c r="E536" s="42">
        <f>1.6*C536/100</f>
        <v>4</v>
      </c>
      <c r="F536" s="42">
        <f>8.4*C536/100</f>
        <v>21</v>
      </c>
      <c r="G536" s="42">
        <f>52.8*C536/100</f>
        <v>132</v>
      </c>
      <c r="H536" s="42">
        <f>C536*0.03/100</f>
        <v>7.4999999999999997E-2</v>
      </c>
      <c r="I536" s="42">
        <f>C536*26.7/100</f>
        <v>66.75</v>
      </c>
      <c r="J536" s="42">
        <v>0</v>
      </c>
      <c r="K536" s="42">
        <f>C536*1.88/100</f>
        <v>4.7</v>
      </c>
      <c r="L536" s="48">
        <f>C536*45.72/100</f>
        <v>114.3</v>
      </c>
      <c r="M536" s="48">
        <f>C536*31.46/100</f>
        <v>78.650000000000006</v>
      </c>
      <c r="N536" s="48">
        <f>C536*17.33/100</f>
        <v>43.325000000000003</v>
      </c>
      <c r="O536" s="42">
        <f>C536*0.61/100</f>
        <v>1.5249999999999999</v>
      </c>
      <c r="P536" s="49">
        <f>0.04*C536/100</f>
        <v>0.1</v>
      </c>
      <c r="Q536" s="49">
        <v>3.35</v>
      </c>
      <c r="R536" s="67">
        <v>110401</v>
      </c>
      <c r="S536" s="67">
        <v>110402</v>
      </c>
    </row>
    <row r="537" spans="1:19" s="63" customFormat="1" x14ac:dyDescent="0.2">
      <c r="A537" s="49">
        <v>3</v>
      </c>
      <c r="B537" s="47" t="s">
        <v>124</v>
      </c>
      <c r="C537" s="41">
        <v>10</v>
      </c>
      <c r="D537" s="42">
        <f>11.1*C537/100</f>
        <v>1.1100000000000001</v>
      </c>
      <c r="E537" s="42">
        <f>3.79*C537/100</f>
        <v>0.379</v>
      </c>
      <c r="F537" s="42">
        <f>76.15*C537/100</f>
        <v>7.6150000000000002</v>
      </c>
      <c r="G537" s="42">
        <f>390.39*C537/100</f>
        <v>39.038999999999994</v>
      </c>
      <c r="H537" s="42">
        <f>0.61*C537/100</f>
        <v>6.0999999999999999E-2</v>
      </c>
      <c r="I537" s="42">
        <f>0*C537/100</f>
        <v>0</v>
      </c>
      <c r="J537" s="42">
        <f>0*C537/100</f>
        <v>0</v>
      </c>
      <c r="K537" s="42">
        <f>0*C537/100</f>
        <v>0</v>
      </c>
      <c r="L537" s="48">
        <f>211.78*C537/100</f>
        <v>21.178000000000001</v>
      </c>
      <c r="M537" s="48">
        <f>0.25*C537/100</f>
        <v>2.5000000000000001E-2</v>
      </c>
      <c r="N537" s="48">
        <f>22.8*C537/100</f>
        <v>2.2799999999999998</v>
      </c>
      <c r="O537" s="42">
        <f>0.002*C537/100</f>
        <v>2.0000000000000001E-4</v>
      </c>
      <c r="P537" s="49">
        <f>0.44*C537/100</f>
        <v>4.4000000000000004E-2</v>
      </c>
      <c r="Q537" s="49">
        <v>0</v>
      </c>
      <c r="R537" s="67">
        <v>180601</v>
      </c>
      <c r="S537" s="67"/>
    </row>
    <row r="538" spans="1:19" s="63" customFormat="1" x14ac:dyDescent="0.2">
      <c r="A538" s="49">
        <v>4</v>
      </c>
      <c r="B538" s="47" t="s">
        <v>18</v>
      </c>
      <c r="C538" s="41">
        <v>100</v>
      </c>
      <c r="D538" s="42">
        <f>13.9*C538/100</f>
        <v>13.9</v>
      </c>
      <c r="E538" s="42">
        <f>7*C538/100</f>
        <v>7</v>
      </c>
      <c r="F538" s="42">
        <f>6*C538/100</f>
        <v>6</v>
      </c>
      <c r="G538" s="42">
        <f>142.6*C538/100</f>
        <v>142.6</v>
      </c>
      <c r="H538" s="42">
        <f>0.1*C538/100</f>
        <v>0.1</v>
      </c>
      <c r="I538" s="42">
        <f>1*C538/100</f>
        <v>1</v>
      </c>
      <c r="J538" s="42">
        <f>0.02*C538/100</f>
        <v>0.02</v>
      </c>
      <c r="K538" s="42">
        <f>0.19*C538/100</f>
        <v>0.19</v>
      </c>
      <c r="L538" s="48">
        <f>24.38*C538/100</f>
        <v>24.38</v>
      </c>
      <c r="M538" s="48">
        <f>193.3*C538/100</f>
        <v>193.3</v>
      </c>
      <c r="N538" s="48">
        <f>29.91*C538/100</f>
        <v>29.91</v>
      </c>
      <c r="O538" s="42">
        <f>2.79*C538/100</f>
        <v>2.79</v>
      </c>
      <c r="P538" s="49">
        <f>0.2*C538/100</f>
        <v>0.2</v>
      </c>
      <c r="Q538" s="49">
        <v>3.83</v>
      </c>
      <c r="R538" s="67">
        <v>120507</v>
      </c>
      <c r="S538" s="67">
        <v>120508</v>
      </c>
    </row>
    <row r="539" spans="1:19" s="64" customFormat="1" ht="18.75" customHeight="1" x14ac:dyDescent="0.25">
      <c r="A539" s="49">
        <v>5</v>
      </c>
      <c r="B539" s="47" t="s">
        <v>114</v>
      </c>
      <c r="C539" s="41">
        <v>150</v>
      </c>
      <c r="D539" s="42">
        <f>3.1*C539/100</f>
        <v>4.6500000000000004</v>
      </c>
      <c r="E539" s="42">
        <f>2.8*C539/100</f>
        <v>4.2</v>
      </c>
      <c r="F539" s="42">
        <f>30.3*C539/100</f>
        <v>45.45</v>
      </c>
      <c r="G539" s="42">
        <f>166.8*C539/100</f>
        <v>250.2</v>
      </c>
      <c r="H539" s="42">
        <f>0.04*C539/100</f>
        <v>0.06</v>
      </c>
      <c r="I539" s="42">
        <f>0*C539/100</f>
        <v>0</v>
      </c>
      <c r="J539" s="42">
        <f>0.02*C539/100</f>
        <v>0.03</v>
      </c>
      <c r="K539" s="42">
        <f>0.05*C539/100</f>
        <v>7.4999999999999997E-2</v>
      </c>
      <c r="L539" s="48">
        <f>3.95*C539/100</f>
        <v>5.9249999999999998</v>
      </c>
      <c r="M539" s="48">
        <f>23.34*C539/100</f>
        <v>35.01</v>
      </c>
      <c r="N539" s="48">
        <f>5.12*C539/100</f>
        <v>7.68</v>
      </c>
      <c r="O539" s="42">
        <f>0.5*C539/100</f>
        <v>0.75</v>
      </c>
      <c r="P539" s="49">
        <f>0.01*C539/100</f>
        <v>1.4999999999999999E-2</v>
      </c>
      <c r="Q539" s="49">
        <f>1.5*C539/100</f>
        <v>2.25</v>
      </c>
      <c r="R539" s="122">
        <v>130401</v>
      </c>
      <c r="S539" s="122">
        <v>130402</v>
      </c>
    </row>
    <row r="540" spans="1:19" s="37" customFormat="1" x14ac:dyDescent="0.2">
      <c r="A540" s="49">
        <v>6</v>
      </c>
      <c r="B540" s="47" t="s">
        <v>126</v>
      </c>
      <c r="C540" s="41">
        <v>200</v>
      </c>
      <c r="D540" s="42">
        <f>0.08*C540/100</f>
        <v>0.16</v>
      </c>
      <c r="E540" s="42">
        <f>0.06*C540/100</f>
        <v>0.12</v>
      </c>
      <c r="F540" s="42">
        <f>8*C540/100</f>
        <v>16</v>
      </c>
      <c r="G540" s="42">
        <f>23.36*C540/100</f>
        <v>46.72</v>
      </c>
      <c r="H540" s="42">
        <f>0*C540/100</f>
        <v>0</v>
      </c>
      <c r="I540" s="42">
        <f>1*C540/100</f>
        <v>2</v>
      </c>
      <c r="J540" s="42">
        <f>0*C540/100</f>
        <v>0</v>
      </c>
      <c r="K540" s="42">
        <f>0.08*C540/100</f>
        <v>0.16</v>
      </c>
      <c r="L540" s="48">
        <f>7.96*C540/100</f>
        <v>15.92</v>
      </c>
      <c r="M540" s="48">
        <f>3.2*C540/100</f>
        <v>6.4</v>
      </c>
      <c r="N540" s="48">
        <f>3.3*C540/100</f>
        <v>6.6</v>
      </c>
      <c r="O540" s="42">
        <f>0.47*C540/100</f>
        <v>0.94</v>
      </c>
      <c r="P540" s="62">
        <f>0.01*C540/100</f>
        <v>0.02</v>
      </c>
      <c r="Q540" s="62">
        <v>2.3199999999999998</v>
      </c>
      <c r="R540" s="67">
        <v>160208</v>
      </c>
      <c r="S540" s="67"/>
    </row>
    <row r="541" spans="1:19" s="63" customFormat="1" x14ac:dyDescent="0.2">
      <c r="A541" s="49">
        <v>7</v>
      </c>
      <c r="B541" s="47" t="s">
        <v>160</v>
      </c>
      <c r="C541" s="41">
        <v>40</v>
      </c>
      <c r="D541" s="42">
        <f>7.76*C541/100</f>
        <v>3.1039999999999996</v>
      </c>
      <c r="E541" s="42">
        <f>2.65*C541/100</f>
        <v>1.06</v>
      </c>
      <c r="F541" s="42">
        <f>53.25*C541/100</f>
        <v>21.3</v>
      </c>
      <c r="G541" s="42">
        <f>273*C541/100</f>
        <v>109.2</v>
      </c>
      <c r="H541" s="42">
        <f>0.34*C541/100</f>
        <v>0.13600000000000001</v>
      </c>
      <c r="I541" s="42">
        <f>0*C541/100</f>
        <v>0</v>
      </c>
      <c r="J541" s="42">
        <v>0</v>
      </c>
      <c r="K541" s="42">
        <f>1.5*C541/100</f>
        <v>0.6</v>
      </c>
      <c r="L541" s="48">
        <f>148.1*C541/100</f>
        <v>59.24</v>
      </c>
      <c r="M541" s="48">
        <f>0*C541/100</f>
        <v>0</v>
      </c>
      <c r="N541" s="48">
        <f>16*C541/100</f>
        <v>6.4</v>
      </c>
      <c r="O541" s="42">
        <f>2.4*C541/100</f>
        <v>0.96</v>
      </c>
      <c r="P541" s="56">
        <f>0.2*C541/100</f>
        <v>0.08</v>
      </c>
      <c r="Q541" s="56">
        <f>1.5*C541/100</f>
        <v>0.6</v>
      </c>
      <c r="R541" s="67">
        <v>200102</v>
      </c>
      <c r="S541" s="67"/>
    </row>
    <row r="542" spans="1:19" s="63" customFormat="1" x14ac:dyDescent="0.2">
      <c r="A542" s="49">
        <v>8</v>
      </c>
      <c r="B542" s="47" t="s">
        <v>159</v>
      </c>
      <c r="C542" s="41">
        <v>20</v>
      </c>
      <c r="D542" s="42">
        <f>5.86*C542/100</f>
        <v>1.1719999999999999</v>
      </c>
      <c r="E542" s="42">
        <f>0.94*C542/100</f>
        <v>0.18799999999999997</v>
      </c>
      <c r="F542" s="42">
        <f>44.4*C542/100</f>
        <v>8.8800000000000008</v>
      </c>
      <c r="G542" s="42">
        <f>189*C542/100</f>
        <v>37.799999999999997</v>
      </c>
      <c r="H542" s="42">
        <f>0.4*C542/100</f>
        <v>0.08</v>
      </c>
      <c r="I542" s="42">
        <f>0.03*C542/100</f>
        <v>6.0000000000000001E-3</v>
      </c>
      <c r="J542" s="42">
        <v>0</v>
      </c>
      <c r="K542" s="42">
        <f>1.7*C542/100</f>
        <v>0.34</v>
      </c>
      <c r="L542" s="48">
        <f>25.4*C542/100</f>
        <v>5.08</v>
      </c>
      <c r="M542" s="48">
        <f>105.53*C542/100</f>
        <v>21.105999999999998</v>
      </c>
      <c r="N542" s="48">
        <f>36.5*C542/100</f>
        <v>7.3</v>
      </c>
      <c r="O542" s="42">
        <f>2.45*C542/100</f>
        <v>0.49</v>
      </c>
      <c r="P542" s="56">
        <f>0.2*C542/100</f>
        <v>0.04</v>
      </c>
      <c r="Q542" s="56">
        <f>10*C542/100</f>
        <v>2</v>
      </c>
      <c r="R542" s="67">
        <v>200103</v>
      </c>
      <c r="S542" s="67"/>
    </row>
    <row r="543" spans="1:19" s="4" customFormat="1" ht="18.75" customHeight="1" x14ac:dyDescent="0.25">
      <c r="A543" s="49"/>
      <c r="B543" s="218" t="s">
        <v>4</v>
      </c>
      <c r="C543" s="120"/>
      <c r="D543" s="170">
        <f t="shared" ref="D543:Q543" si="94">SUM(D535:D542)</f>
        <v>27.576000000000001</v>
      </c>
      <c r="E543" s="170">
        <f t="shared" si="94"/>
        <v>17.006999999999998</v>
      </c>
      <c r="F543" s="170">
        <f t="shared" si="94"/>
        <v>127.265</v>
      </c>
      <c r="G543" s="170">
        <f t="shared" si="94"/>
        <v>765.35899999999992</v>
      </c>
      <c r="H543" s="170">
        <f t="shared" si="94"/>
        <v>0.52400000000000002</v>
      </c>
      <c r="I543" s="170">
        <f t="shared" si="94"/>
        <v>72.756</v>
      </c>
      <c r="J543" s="170">
        <f t="shared" si="94"/>
        <v>0.05</v>
      </c>
      <c r="K543" s="170">
        <f t="shared" si="94"/>
        <v>6.0650000000000004</v>
      </c>
      <c r="L543" s="170">
        <f t="shared" si="94"/>
        <v>259.82299999999998</v>
      </c>
      <c r="M543" s="170">
        <f t="shared" si="94"/>
        <v>348.89099999999996</v>
      </c>
      <c r="N543" s="170">
        <f t="shared" si="94"/>
        <v>111.895</v>
      </c>
      <c r="O543" s="170">
        <f t="shared" si="94"/>
        <v>7.8151999999999999</v>
      </c>
      <c r="P543" s="170">
        <f t="shared" si="94"/>
        <v>0.51100000000000001</v>
      </c>
      <c r="Q543" s="170">
        <f t="shared" si="94"/>
        <v>18.670000000000002</v>
      </c>
      <c r="R543" s="122"/>
      <c r="S543" s="122"/>
    </row>
    <row r="544" spans="1:19" s="4" customFormat="1" ht="18.75" customHeight="1" x14ac:dyDescent="0.25">
      <c r="A544" s="300" t="s">
        <v>35</v>
      </c>
      <c r="B544" s="301"/>
      <c r="C544" s="301"/>
      <c r="D544" s="301"/>
      <c r="E544" s="301"/>
      <c r="F544" s="301"/>
      <c r="G544" s="301"/>
      <c r="H544" s="301"/>
      <c r="I544" s="301"/>
      <c r="J544" s="301"/>
      <c r="K544" s="301"/>
      <c r="L544" s="301"/>
      <c r="M544" s="301"/>
      <c r="N544" s="301"/>
      <c r="O544" s="301"/>
      <c r="P544" s="301"/>
      <c r="Q544" s="301"/>
      <c r="R544" s="301"/>
      <c r="S544" s="347"/>
    </row>
    <row r="545" spans="1:19" s="63" customFormat="1" ht="37.5" x14ac:dyDescent="0.2">
      <c r="A545" s="230">
        <v>1</v>
      </c>
      <c r="B545" s="47" t="s">
        <v>251</v>
      </c>
      <c r="C545" s="41">
        <v>50</v>
      </c>
      <c r="D545" s="42">
        <f>9.9*C545/100</f>
        <v>4.95</v>
      </c>
      <c r="E545" s="42">
        <f>5.3*C545/100</f>
        <v>2.65</v>
      </c>
      <c r="F545" s="42">
        <f>55*C545/100</f>
        <v>27.5</v>
      </c>
      <c r="G545" s="43">
        <f>308*C545/100</f>
        <v>154</v>
      </c>
      <c r="H545" s="44">
        <f>0.34*C545/100</f>
        <v>0.17</v>
      </c>
      <c r="I545" s="42">
        <f>0*C545/100</f>
        <v>0</v>
      </c>
      <c r="J545" s="42">
        <v>0</v>
      </c>
      <c r="K545" s="42">
        <f>1.5*C545/100</f>
        <v>0.75</v>
      </c>
      <c r="L545" s="48">
        <f>148.1*C545/100</f>
        <v>74.05</v>
      </c>
      <c r="M545" s="48">
        <f>0*C545/100</f>
        <v>0</v>
      </c>
      <c r="N545" s="48">
        <f>16*C545/100</f>
        <v>8</v>
      </c>
      <c r="O545" s="42">
        <f>2.4*C545/100</f>
        <v>1.2</v>
      </c>
      <c r="P545" s="56">
        <f>0.2*C545/100</f>
        <v>0.1</v>
      </c>
      <c r="Q545" s="56">
        <v>0</v>
      </c>
      <c r="R545" s="183" t="s">
        <v>252</v>
      </c>
      <c r="S545" s="51">
        <v>190215</v>
      </c>
    </row>
    <row r="546" spans="1:19" s="63" customFormat="1" x14ac:dyDescent="0.2">
      <c r="A546" s="49">
        <v>2</v>
      </c>
      <c r="B546" s="47" t="s">
        <v>165</v>
      </c>
      <c r="C546" s="59">
        <v>200</v>
      </c>
      <c r="D546" s="171">
        <f>1.92*C546/100</f>
        <v>3.84</v>
      </c>
      <c r="E546" s="171">
        <f>1.68*C546/100</f>
        <v>3.36</v>
      </c>
      <c r="F546" s="171">
        <f>10.71*C546/100</f>
        <v>21.42</v>
      </c>
      <c r="G546" s="42">
        <f>65.1*C546/100</f>
        <v>130.19999999999999</v>
      </c>
      <c r="H546" s="49">
        <f>0.2*C546/100</f>
        <v>0.4</v>
      </c>
      <c r="I546" s="49">
        <f>15.67*C546/100</f>
        <v>31.34</v>
      </c>
      <c r="J546" s="49">
        <f>0.01*C546/100</f>
        <v>0.02</v>
      </c>
      <c r="K546" s="49">
        <f>C546*0/100</f>
        <v>0</v>
      </c>
      <c r="L546" s="48">
        <f>62.77*C546/100</f>
        <v>125.54</v>
      </c>
      <c r="M546" s="48">
        <f>45*C546/100</f>
        <v>90</v>
      </c>
      <c r="N546" s="48">
        <f>7.57*C546/100</f>
        <v>15.14</v>
      </c>
      <c r="O546" s="49">
        <f>0.07*C546/100</f>
        <v>0.14000000000000001</v>
      </c>
      <c r="P546" s="49">
        <f>0.2*C546/100</f>
        <v>0.4</v>
      </c>
      <c r="Q546" s="49">
        <v>0</v>
      </c>
      <c r="R546" s="67">
        <v>160103</v>
      </c>
      <c r="S546" s="67"/>
    </row>
    <row r="547" spans="1:19" s="4" customFormat="1" ht="18.75" customHeight="1" x14ac:dyDescent="0.25">
      <c r="A547" s="49"/>
      <c r="B547" s="218" t="s">
        <v>4</v>
      </c>
      <c r="C547" s="120"/>
      <c r="D547" s="172">
        <f t="shared" ref="D547:Q547" si="95">SUM(D545:D546)</f>
        <v>8.7899999999999991</v>
      </c>
      <c r="E547" s="172">
        <f t="shared" si="95"/>
        <v>6.01</v>
      </c>
      <c r="F547" s="172">
        <f t="shared" si="95"/>
        <v>48.92</v>
      </c>
      <c r="G547" s="172">
        <f t="shared" si="95"/>
        <v>284.2</v>
      </c>
      <c r="H547" s="172">
        <f t="shared" si="95"/>
        <v>0.57000000000000006</v>
      </c>
      <c r="I547" s="172">
        <f t="shared" si="95"/>
        <v>31.34</v>
      </c>
      <c r="J547" s="172">
        <f t="shared" si="95"/>
        <v>0.02</v>
      </c>
      <c r="K547" s="172">
        <f t="shared" si="95"/>
        <v>0.75</v>
      </c>
      <c r="L547" s="172">
        <f t="shared" si="95"/>
        <v>199.59</v>
      </c>
      <c r="M547" s="172">
        <f t="shared" si="95"/>
        <v>90</v>
      </c>
      <c r="N547" s="172">
        <f t="shared" si="95"/>
        <v>23.14</v>
      </c>
      <c r="O547" s="172">
        <f t="shared" si="95"/>
        <v>1.3399999999999999</v>
      </c>
      <c r="P547" s="170">
        <f t="shared" si="95"/>
        <v>0.5</v>
      </c>
      <c r="Q547" s="170">
        <f t="shared" si="95"/>
        <v>0</v>
      </c>
      <c r="R547" s="122"/>
      <c r="S547" s="122"/>
    </row>
    <row r="548" spans="1:19" s="4" customFormat="1" ht="18.75" customHeight="1" x14ac:dyDescent="0.25">
      <c r="A548" s="49"/>
      <c r="B548" s="218" t="s">
        <v>7</v>
      </c>
      <c r="C548" s="120"/>
      <c r="D548" s="170">
        <f t="shared" ref="D548:Q548" si="96">D533+D543+D547</f>
        <v>64.677999999999997</v>
      </c>
      <c r="E548" s="170">
        <f t="shared" si="96"/>
        <v>39.786999999999999</v>
      </c>
      <c r="F548" s="170">
        <f t="shared" si="96"/>
        <v>251.52500000000003</v>
      </c>
      <c r="G548" s="170">
        <f t="shared" si="96"/>
        <v>1626.1890000000001</v>
      </c>
      <c r="H548" s="170">
        <f t="shared" si="96"/>
        <v>1.323</v>
      </c>
      <c r="I548" s="170">
        <f t="shared" si="96"/>
        <v>206.71099999999998</v>
      </c>
      <c r="J548" s="170">
        <f t="shared" si="96"/>
        <v>0.19699999999999998</v>
      </c>
      <c r="K548" s="170">
        <f t="shared" si="96"/>
        <v>8.14</v>
      </c>
      <c r="L548" s="170">
        <f t="shared" si="96"/>
        <v>839.173</v>
      </c>
      <c r="M548" s="170">
        <f t="shared" si="96"/>
        <v>821.56099999999992</v>
      </c>
      <c r="N548" s="170">
        <f t="shared" si="96"/>
        <v>203.72999999999996</v>
      </c>
      <c r="O548" s="170">
        <f t="shared" si="96"/>
        <v>10.6752</v>
      </c>
      <c r="P548" s="170">
        <f t="shared" si="96"/>
        <v>1.556</v>
      </c>
      <c r="Q548" s="170">
        <f t="shared" si="96"/>
        <v>46.650000000000006</v>
      </c>
      <c r="R548" s="122"/>
      <c r="S548" s="122"/>
    </row>
    <row r="549" spans="1:19" s="4" customFormat="1" ht="18.75" customHeight="1" thickBot="1" x14ac:dyDescent="0.3">
      <c r="A549" s="344" t="s">
        <v>63</v>
      </c>
      <c r="B549" s="345"/>
      <c r="C549" s="345"/>
      <c r="D549" s="345"/>
      <c r="E549" s="345"/>
      <c r="F549" s="345"/>
      <c r="G549" s="345"/>
      <c r="H549" s="345"/>
      <c r="I549" s="345"/>
      <c r="J549" s="345"/>
      <c r="K549" s="345"/>
      <c r="L549" s="345"/>
      <c r="M549" s="345"/>
      <c r="N549" s="345"/>
      <c r="O549" s="345"/>
      <c r="P549" s="345"/>
      <c r="Q549" s="345"/>
      <c r="R549" s="345"/>
      <c r="S549" s="348"/>
    </row>
    <row r="550" spans="1:19" s="4" customFormat="1" ht="18.75" customHeight="1" x14ac:dyDescent="0.25">
      <c r="A550" s="361" t="s">
        <v>3</v>
      </c>
      <c r="B550" s="301"/>
      <c r="C550" s="301"/>
      <c r="D550" s="301"/>
      <c r="E550" s="301"/>
      <c r="F550" s="301"/>
      <c r="G550" s="301"/>
      <c r="H550" s="301"/>
      <c r="I550" s="301"/>
      <c r="J550" s="301"/>
      <c r="K550" s="301"/>
      <c r="L550" s="301"/>
      <c r="M550" s="301"/>
      <c r="N550" s="301"/>
      <c r="O550" s="301"/>
      <c r="P550" s="301"/>
      <c r="Q550" s="301"/>
      <c r="R550" s="301"/>
      <c r="S550" s="347"/>
    </row>
    <row r="551" spans="1:19" s="63" customFormat="1" ht="37.5" x14ac:dyDescent="0.2">
      <c r="A551" s="49">
        <v>1</v>
      </c>
      <c r="B551" s="47" t="s">
        <v>255</v>
      </c>
      <c r="C551" s="41">
        <v>200</v>
      </c>
      <c r="D551" s="42">
        <f>3.64*C551/100</f>
        <v>7.28</v>
      </c>
      <c r="E551" s="42">
        <f>3.38*C551/100</f>
        <v>6.76</v>
      </c>
      <c r="F551" s="42">
        <f>18.46*C551/100</f>
        <v>36.92</v>
      </c>
      <c r="G551" s="42">
        <f>112.8*C551/100</f>
        <v>225.6</v>
      </c>
      <c r="H551" s="42">
        <f>0.4*C551/100</f>
        <v>0.8</v>
      </c>
      <c r="I551" s="42">
        <f>8*C551/100</f>
        <v>16</v>
      </c>
      <c r="J551" s="42">
        <f>0*C551/100</f>
        <v>0</v>
      </c>
      <c r="K551" s="42">
        <f>2*C551/100</f>
        <v>4</v>
      </c>
      <c r="L551" s="48">
        <f>20*C551/100</f>
        <v>40</v>
      </c>
      <c r="M551" s="48">
        <f>32*C551/100</f>
        <v>64</v>
      </c>
      <c r="N551" s="48">
        <f>0*C551/100</f>
        <v>0</v>
      </c>
      <c r="O551" s="42">
        <f>2.24*C551/100</f>
        <v>4.4800000000000004</v>
      </c>
      <c r="P551" s="49">
        <f>0.3*C551/100</f>
        <v>0.6</v>
      </c>
      <c r="Q551" s="49">
        <f>4.5*C551/100</f>
        <v>9</v>
      </c>
      <c r="R551" s="67">
        <v>120215</v>
      </c>
      <c r="S551" s="67"/>
    </row>
    <row r="552" spans="1:19" s="63" customFormat="1" x14ac:dyDescent="0.2">
      <c r="A552" s="49">
        <v>2</v>
      </c>
      <c r="B552" s="47" t="s">
        <v>31</v>
      </c>
      <c r="C552" s="59">
        <v>200</v>
      </c>
      <c r="D552" s="60">
        <v>0</v>
      </c>
      <c r="E552" s="60">
        <v>0</v>
      </c>
      <c r="F552" s="60">
        <f>4.99*C552/100</f>
        <v>9.98</v>
      </c>
      <c r="G552" s="42">
        <f>19.95*C552/100</f>
        <v>39.9</v>
      </c>
      <c r="H552" s="42">
        <v>0</v>
      </c>
      <c r="I552" s="42">
        <v>0</v>
      </c>
      <c r="J552" s="42">
        <v>0</v>
      </c>
      <c r="K552" s="42">
        <v>0</v>
      </c>
      <c r="L552" s="48">
        <f>8.15*C552/100</f>
        <v>16.3</v>
      </c>
      <c r="M552" s="48">
        <f>0.02*C552/100</f>
        <v>0.04</v>
      </c>
      <c r="N552" s="48">
        <f>1.79*C552/100</f>
        <v>3.58</v>
      </c>
      <c r="O552" s="42">
        <f>0.02*C552/100</f>
        <v>0.04</v>
      </c>
      <c r="P552" s="49">
        <f>0.01*C552/100</f>
        <v>0.02</v>
      </c>
      <c r="Q552" s="49">
        <v>0.48</v>
      </c>
      <c r="R552" s="67">
        <v>160105</v>
      </c>
      <c r="S552" s="67"/>
    </row>
    <row r="553" spans="1:19" s="63" customFormat="1" x14ac:dyDescent="0.2">
      <c r="A553" s="49">
        <v>3</v>
      </c>
      <c r="B553" s="47" t="s">
        <v>160</v>
      </c>
      <c r="C553" s="41">
        <v>20</v>
      </c>
      <c r="D553" s="42">
        <f>7.76*C553/100</f>
        <v>1.5519999999999998</v>
      </c>
      <c r="E553" s="42">
        <f>2.65*C553/100</f>
        <v>0.53</v>
      </c>
      <c r="F553" s="42">
        <f>53.25*C553/100</f>
        <v>10.65</v>
      </c>
      <c r="G553" s="42">
        <f>273*C553/100</f>
        <v>54.6</v>
      </c>
      <c r="H553" s="42">
        <f>0.34*C553/100</f>
        <v>6.8000000000000005E-2</v>
      </c>
      <c r="I553" s="42">
        <f>0*C553/100</f>
        <v>0</v>
      </c>
      <c r="J553" s="42">
        <v>0</v>
      </c>
      <c r="K553" s="42">
        <f>1.5*C553/100</f>
        <v>0.3</v>
      </c>
      <c r="L553" s="48">
        <f>148.1*C553/100</f>
        <v>29.62</v>
      </c>
      <c r="M553" s="48">
        <f>0*C553/100</f>
        <v>0</v>
      </c>
      <c r="N553" s="48">
        <f>16*C553/100</f>
        <v>3.2</v>
      </c>
      <c r="O553" s="42">
        <f>2.4*C553/100</f>
        <v>0.48</v>
      </c>
      <c r="P553" s="56">
        <f>0.2*C553/100</f>
        <v>0.04</v>
      </c>
      <c r="Q553" s="56">
        <f>1.5*C553/100</f>
        <v>0.3</v>
      </c>
      <c r="R553" s="67">
        <v>200102</v>
      </c>
      <c r="S553" s="67"/>
    </row>
    <row r="554" spans="1:19" s="37" customFormat="1" x14ac:dyDescent="0.2">
      <c r="A554" s="49">
        <v>4</v>
      </c>
      <c r="B554" s="47" t="s">
        <v>273</v>
      </c>
      <c r="C554" s="41">
        <v>150</v>
      </c>
      <c r="D554" s="42">
        <f>1.2*C554/100</f>
        <v>1.8</v>
      </c>
      <c r="E554" s="42">
        <f>7.6*C554/100</f>
        <v>11.4</v>
      </c>
      <c r="F554" s="42">
        <f>28.8*C554/100</f>
        <v>43.2</v>
      </c>
      <c r="G554" s="42">
        <f>188.4*C554/100</f>
        <v>282.60000000000002</v>
      </c>
      <c r="H554" s="42">
        <v>0</v>
      </c>
      <c r="I554" s="42">
        <f>0.8*C554/100</f>
        <v>1.2</v>
      </c>
      <c r="J554" s="42">
        <v>0</v>
      </c>
      <c r="K554" s="42">
        <v>0</v>
      </c>
      <c r="L554" s="48">
        <f>28.96*C554/100</f>
        <v>43.44</v>
      </c>
      <c r="M554" s="48">
        <f>9.26*C554/100</f>
        <v>13.89</v>
      </c>
      <c r="N554" s="48">
        <f>3.51*C554/100</f>
        <v>5.2649999999999997</v>
      </c>
      <c r="O554" s="42">
        <f>0.1*C554/100</f>
        <v>0.15</v>
      </c>
      <c r="P554" s="56">
        <v>0</v>
      </c>
      <c r="Q554" s="56">
        <v>0</v>
      </c>
      <c r="R554" s="67"/>
      <c r="S554" s="67">
        <v>220110</v>
      </c>
    </row>
    <row r="555" spans="1:19" s="4" customFormat="1" x14ac:dyDescent="0.25">
      <c r="A555" s="49"/>
      <c r="B555" s="218" t="s">
        <v>4</v>
      </c>
      <c r="C555" s="120"/>
      <c r="D555" s="172">
        <f t="shared" ref="D555:Q555" si="97">SUM(D551:D554)</f>
        <v>10.632000000000001</v>
      </c>
      <c r="E555" s="172">
        <f t="shared" si="97"/>
        <v>18.690000000000001</v>
      </c>
      <c r="F555" s="172">
        <f t="shared" si="97"/>
        <v>100.75</v>
      </c>
      <c r="G555" s="172">
        <f t="shared" si="97"/>
        <v>602.70000000000005</v>
      </c>
      <c r="H555" s="172">
        <f t="shared" si="97"/>
        <v>0.8680000000000001</v>
      </c>
      <c r="I555" s="172">
        <f t="shared" si="97"/>
        <v>17.2</v>
      </c>
      <c r="J555" s="172">
        <f t="shared" si="97"/>
        <v>0</v>
      </c>
      <c r="K555" s="172">
        <f t="shared" si="97"/>
        <v>4.3</v>
      </c>
      <c r="L555" s="172">
        <f t="shared" si="97"/>
        <v>129.36000000000001</v>
      </c>
      <c r="M555" s="172">
        <f t="shared" si="97"/>
        <v>77.930000000000007</v>
      </c>
      <c r="N555" s="172">
        <f t="shared" si="97"/>
        <v>12.045</v>
      </c>
      <c r="O555" s="172">
        <f t="shared" si="97"/>
        <v>5.15</v>
      </c>
      <c r="P555" s="170">
        <f t="shared" si="97"/>
        <v>0.66</v>
      </c>
      <c r="Q555" s="170">
        <f t="shared" si="97"/>
        <v>9.7800000000000011</v>
      </c>
      <c r="R555" s="122"/>
      <c r="S555" s="122"/>
    </row>
    <row r="556" spans="1:19" s="4" customFormat="1" x14ac:dyDescent="0.25">
      <c r="A556" s="300" t="s">
        <v>5</v>
      </c>
      <c r="B556" s="301"/>
      <c r="C556" s="301"/>
      <c r="D556" s="301"/>
      <c r="E556" s="301"/>
      <c r="F556" s="301"/>
      <c r="G556" s="301"/>
      <c r="H556" s="301"/>
      <c r="I556" s="301"/>
      <c r="J556" s="301"/>
      <c r="K556" s="301"/>
      <c r="L556" s="301"/>
      <c r="M556" s="301"/>
      <c r="N556" s="301"/>
      <c r="O556" s="301"/>
      <c r="P556" s="301"/>
      <c r="Q556" s="301"/>
      <c r="R556" s="301"/>
      <c r="S556" s="347"/>
    </row>
    <row r="557" spans="1:19" s="63" customFormat="1" ht="37.5" x14ac:dyDescent="0.2">
      <c r="A557" s="49">
        <v>1</v>
      </c>
      <c r="B557" s="47" t="s">
        <v>125</v>
      </c>
      <c r="C557" s="41">
        <v>60</v>
      </c>
      <c r="D557" s="42">
        <f>1.18*C557/100</f>
        <v>0.70799999999999996</v>
      </c>
      <c r="E557" s="42">
        <f>7.08*C557/100</f>
        <v>4.2480000000000002</v>
      </c>
      <c r="F557" s="42">
        <f>9.27*C557/100</f>
        <v>5.5619999999999994</v>
      </c>
      <c r="G557" s="42">
        <f>106.75*C557/100</f>
        <v>64.05</v>
      </c>
      <c r="H557" s="42">
        <f>C557*0.05/100</f>
        <v>0.03</v>
      </c>
      <c r="I557" s="42">
        <f>C557*3.18/100</f>
        <v>1.9080000000000001</v>
      </c>
      <c r="J557" s="42">
        <f>C557*7.86/100000</f>
        <v>4.7160000000000006E-3</v>
      </c>
      <c r="K557" s="42">
        <f>C557*1.56/100</f>
        <v>0.93600000000000005</v>
      </c>
      <c r="L557" s="48">
        <f>C557*24.66/100</f>
        <v>14.795999999999999</v>
      </c>
      <c r="M557" s="48">
        <f>C557*50.19/100</f>
        <v>30.113999999999997</v>
      </c>
      <c r="N557" s="48">
        <f>C557*34.58/100</f>
        <v>20.747999999999998</v>
      </c>
      <c r="O557" s="42">
        <f>C557*0.65/100</f>
        <v>0.39</v>
      </c>
      <c r="P557" s="49">
        <f>0.06*C557/100</f>
        <v>3.5999999999999997E-2</v>
      </c>
      <c r="Q557" s="49">
        <v>2.62</v>
      </c>
      <c r="R557" s="67">
        <v>100302</v>
      </c>
      <c r="S557" s="67"/>
    </row>
    <row r="558" spans="1:19" s="63" customFormat="1" x14ac:dyDescent="0.2">
      <c r="A558" s="49">
        <v>2</v>
      </c>
      <c r="B558" s="47" t="s">
        <v>180</v>
      </c>
      <c r="C558" s="41">
        <v>250</v>
      </c>
      <c r="D558" s="42">
        <f>1.5*C558/100</f>
        <v>3.75</v>
      </c>
      <c r="E558" s="42">
        <f>1.7*C558/100</f>
        <v>4.25</v>
      </c>
      <c r="F558" s="42">
        <f>2.5*C558/100</f>
        <v>6.25</v>
      </c>
      <c r="G558" s="42">
        <f>31.3*C558/100</f>
        <v>78.25</v>
      </c>
      <c r="H558" s="42">
        <f>C558*0.04/100</f>
        <v>0.1</v>
      </c>
      <c r="I558" s="42">
        <f>4.61*C558/100</f>
        <v>11.525</v>
      </c>
      <c r="J558" s="42">
        <f>0.01*C558/100</f>
        <v>2.5000000000000001E-2</v>
      </c>
      <c r="K558" s="42">
        <f>0.11*C558/100</f>
        <v>0.27500000000000002</v>
      </c>
      <c r="L558" s="48">
        <f>C558*17.99/100</f>
        <v>44.975000000000001</v>
      </c>
      <c r="M558" s="48">
        <f>C558*28.01/100</f>
        <v>70.025000000000006</v>
      </c>
      <c r="N558" s="48">
        <f>C558*12.54/100</f>
        <v>31.35</v>
      </c>
      <c r="O558" s="42">
        <f>C558*0.43/100</f>
        <v>1.075</v>
      </c>
      <c r="P558" s="49">
        <f>0.03*C558/100</f>
        <v>7.4999999999999997E-2</v>
      </c>
      <c r="Q558" s="49">
        <v>4</v>
      </c>
      <c r="R558" s="67">
        <v>110203</v>
      </c>
      <c r="S558" s="67">
        <v>110204</v>
      </c>
    </row>
    <row r="559" spans="1:19" s="63" customFormat="1" x14ac:dyDescent="0.2">
      <c r="A559" s="49">
        <v>3</v>
      </c>
      <c r="B559" s="47" t="s">
        <v>112</v>
      </c>
      <c r="C559" s="41">
        <v>100</v>
      </c>
      <c r="D559" s="42">
        <f>14*C559/100</f>
        <v>14</v>
      </c>
      <c r="E559" s="42">
        <f>7.1*C559/100</f>
        <v>7.1</v>
      </c>
      <c r="F559" s="42">
        <f>14.2*C559/100</f>
        <v>14.2</v>
      </c>
      <c r="G559" s="42">
        <f>176.7*C559/100</f>
        <v>176.7</v>
      </c>
      <c r="H559" s="42">
        <v>3.5999999999999997E-2</v>
      </c>
      <c r="I559" s="42">
        <v>6.0000000000000001E-3</v>
      </c>
      <c r="J559" s="42">
        <v>0</v>
      </c>
      <c r="K559" s="42">
        <v>1.1499999999999999</v>
      </c>
      <c r="L559" s="48">
        <v>30.75</v>
      </c>
      <c r="M559" s="48">
        <v>87.3</v>
      </c>
      <c r="N559" s="48">
        <v>15.6</v>
      </c>
      <c r="O559" s="42">
        <v>0.73</v>
      </c>
      <c r="P559" s="49">
        <v>0.13</v>
      </c>
      <c r="Q559" s="49">
        <v>4.79</v>
      </c>
      <c r="R559" s="67">
        <v>120613</v>
      </c>
      <c r="S559" s="185">
        <v>120614</v>
      </c>
    </row>
    <row r="560" spans="1:19" s="63" customFormat="1" x14ac:dyDescent="0.2">
      <c r="A560" s="49">
        <v>4</v>
      </c>
      <c r="B560" s="47" t="s">
        <v>13</v>
      </c>
      <c r="C560" s="41">
        <v>30</v>
      </c>
      <c r="D560" s="60">
        <f>0.9*C560/100</f>
        <v>0.27</v>
      </c>
      <c r="E560" s="60">
        <f>4.5*C560/100</f>
        <v>1.35</v>
      </c>
      <c r="F560" s="60">
        <f>7.4*C560/100</f>
        <v>2.2200000000000002</v>
      </c>
      <c r="G560" s="60">
        <f>73.7*C560/100</f>
        <v>22.11</v>
      </c>
      <c r="H560" s="42">
        <v>8.9999999999999993E-3</v>
      </c>
      <c r="I560" s="42">
        <v>0.15</v>
      </c>
      <c r="J560" s="42">
        <v>6.0000000000000001E-3</v>
      </c>
      <c r="K560" s="42">
        <v>0.03</v>
      </c>
      <c r="L560" s="48">
        <v>46.05</v>
      </c>
      <c r="M560" s="48">
        <v>32.85</v>
      </c>
      <c r="N560" s="48">
        <v>5.0999999999999996</v>
      </c>
      <c r="O560" s="42">
        <v>0.03</v>
      </c>
      <c r="P560" s="49">
        <v>0.03</v>
      </c>
      <c r="Q560" s="49">
        <v>1.35</v>
      </c>
      <c r="R560" s="67">
        <v>140104</v>
      </c>
      <c r="S560" s="67">
        <v>140105</v>
      </c>
    </row>
    <row r="561" spans="1:19" s="63" customFormat="1" x14ac:dyDescent="0.2">
      <c r="A561" s="49">
        <v>5</v>
      </c>
      <c r="B561" s="47" t="s">
        <v>113</v>
      </c>
      <c r="C561" s="41">
        <v>150</v>
      </c>
      <c r="D561" s="42">
        <f>3.22*C561/100</f>
        <v>4.830000000000001</v>
      </c>
      <c r="E561" s="42">
        <f>4.825*C561/100</f>
        <v>7.2374999999999998</v>
      </c>
      <c r="F561" s="42">
        <f>21.9*C561/100</f>
        <v>32.85</v>
      </c>
      <c r="G561" s="42">
        <f>140.5*C561/100</f>
        <v>210.75</v>
      </c>
      <c r="H561" s="42">
        <f>0.14*C561/100</f>
        <v>0.21000000000000005</v>
      </c>
      <c r="I561" s="42">
        <f>0*C561/100</f>
        <v>0</v>
      </c>
      <c r="J561" s="42">
        <f>0.02*C561/100</f>
        <v>0.03</v>
      </c>
      <c r="K561" s="42">
        <f>0.05*C561/100</f>
        <v>7.4999999999999997E-2</v>
      </c>
      <c r="L561" s="48">
        <f>12.38*C561/100</f>
        <v>18.570000000000004</v>
      </c>
      <c r="M561" s="48">
        <f>132.35*C561/100</f>
        <v>198.52500000000001</v>
      </c>
      <c r="N561" s="48">
        <f>88.86*C561/100</f>
        <v>133.29</v>
      </c>
      <c r="O561" s="42">
        <f>2.97*C561/100</f>
        <v>4.455000000000001</v>
      </c>
      <c r="P561" s="49">
        <f>0.075*C561/100</f>
        <v>0.1125</v>
      </c>
      <c r="Q561" s="49">
        <f>0.34*C561/100</f>
        <v>0.51000000000000012</v>
      </c>
      <c r="R561" s="67">
        <v>130309</v>
      </c>
      <c r="S561" s="67">
        <v>130310</v>
      </c>
    </row>
    <row r="562" spans="1:19" s="66" customFormat="1" x14ac:dyDescent="0.2">
      <c r="A562" s="49">
        <v>6</v>
      </c>
      <c r="B562" s="47" t="s">
        <v>231</v>
      </c>
      <c r="C562" s="41">
        <v>200</v>
      </c>
      <c r="D562" s="60">
        <f>0.7*C562/100</f>
        <v>1.4</v>
      </c>
      <c r="E562" s="60">
        <v>0</v>
      </c>
      <c r="F562" s="60">
        <f>12*C562/100</f>
        <v>24</v>
      </c>
      <c r="G562" s="60">
        <f>48*C562/100</f>
        <v>96</v>
      </c>
      <c r="H562" s="42">
        <f>0.105*C562/100</f>
        <v>0.21</v>
      </c>
      <c r="I562" s="42">
        <f>2*C562/100</f>
        <v>4</v>
      </c>
      <c r="J562" s="42">
        <f>0.03*C562/100</f>
        <v>0.06</v>
      </c>
      <c r="K562" s="42">
        <f>0.35*C562/100</f>
        <v>0.7</v>
      </c>
      <c r="L562" s="48">
        <f>10.5*C562/100</f>
        <v>21</v>
      </c>
      <c r="M562" s="48">
        <f>8*C562/100</f>
        <v>16</v>
      </c>
      <c r="N562" s="48">
        <f>11.5*C562/100</f>
        <v>23</v>
      </c>
      <c r="O562" s="49">
        <f>0.35*C562/100</f>
        <v>0.7</v>
      </c>
      <c r="P562" s="49">
        <v>0</v>
      </c>
      <c r="Q562" s="49">
        <v>0.4</v>
      </c>
      <c r="R562" s="67"/>
      <c r="S562" s="67"/>
    </row>
    <row r="563" spans="1:19" s="63" customFormat="1" x14ac:dyDescent="0.2">
      <c r="A563" s="49">
        <v>7</v>
      </c>
      <c r="B563" s="47" t="s">
        <v>160</v>
      </c>
      <c r="C563" s="41">
        <v>40</v>
      </c>
      <c r="D563" s="42">
        <f>7.76*C563/100</f>
        <v>3.1039999999999996</v>
      </c>
      <c r="E563" s="42">
        <f>2.65*C563/100</f>
        <v>1.06</v>
      </c>
      <c r="F563" s="42">
        <f>53.25*C563/100</f>
        <v>21.3</v>
      </c>
      <c r="G563" s="42">
        <f>273*C563/100</f>
        <v>109.2</v>
      </c>
      <c r="H563" s="42">
        <f>0.34*C563/100</f>
        <v>0.13600000000000001</v>
      </c>
      <c r="I563" s="42">
        <f>0*C563/100</f>
        <v>0</v>
      </c>
      <c r="J563" s="42">
        <v>0</v>
      </c>
      <c r="K563" s="42">
        <f>1.5*C563/100</f>
        <v>0.6</v>
      </c>
      <c r="L563" s="48">
        <f>148.1*C563/100</f>
        <v>59.24</v>
      </c>
      <c r="M563" s="48">
        <f>0*C563/100</f>
        <v>0</v>
      </c>
      <c r="N563" s="48">
        <f>16*C563/100</f>
        <v>6.4</v>
      </c>
      <c r="O563" s="42">
        <f>2.4*C563/100</f>
        <v>0.96</v>
      </c>
      <c r="P563" s="56">
        <f>0.2*C563/100</f>
        <v>0.08</v>
      </c>
      <c r="Q563" s="56">
        <f>1.5*C563/100</f>
        <v>0.6</v>
      </c>
      <c r="R563" s="67">
        <v>200102</v>
      </c>
      <c r="S563" s="67"/>
    </row>
    <row r="564" spans="1:19" s="63" customFormat="1" x14ac:dyDescent="0.2">
      <c r="A564" s="49">
        <v>8</v>
      </c>
      <c r="B564" s="47" t="s">
        <v>159</v>
      </c>
      <c r="C564" s="41">
        <v>20</v>
      </c>
      <c r="D564" s="42">
        <f>5.86*C564/100</f>
        <v>1.1719999999999999</v>
      </c>
      <c r="E564" s="42">
        <f>0.94*C564/100</f>
        <v>0.18799999999999997</v>
      </c>
      <c r="F564" s="42">
        <f>44.4*C564/100</f>
        <v>8.8800000000000008</v>
      </c>
      <c r="G564" s="42">
        <f>189*C564/100</f>
        <v>37.799999999999997</v>
      </c>
      <c r="H564" s="42">
        <f>0.4*C564/100</f>
        <v>0.08</v>
      </c>
      <c r="I564" s="42">
        <f>0.03*C564/100</f>
        <v>6.0000000000000001E-3</v>
      </c>
      <c r="J564" s="42">
        <v>0</v>
      </c>
      <c r="K564" s="42">
        <f>1.7*C564/100</f>
        <v>0.34</v>
      </c>
      <c r="L564" s="48">
        <f>25.4*C564/100</f>
        <v>5.08</v>
      </c>
      <c r="M564" s="48">
        <f>105.53*C564/100</f>
        <v>21.105999999999998</v>
      </c>
      <c r="N564" s="48">
        <f>36.5*C564/100</f>
        <v>7.3</v>
      </c>
      <c r="O564" s="42">
        <f>2.45*C564/100</f>
        <v>0.49</v>
      </c>
      <c r="P564" s="56">
        <f>0.2*C564/100</f>
        <v>0.04</v>
      </c>
      <c r="Q564" s="56">
        <f>10*C564/100</f>
        <v>2</v>
      </c>
      <c r="R564" s="67">
        <v>200103</v>
      </c>
      <c r="S564" s="67"/>
    </row>
    <row r="565" spans="1:19" s="63" customFormat="1" x14ac:dyDescent="0.2">
      <c r="A565" s="49">
        <v>9</v>
      </c>
      <c r="B565" s="47" t="s">
        <v>219</v>
      </c>
      <c r="C565" s="41">
        <v>20</v>
      </c>
      <c r="D565" s="42">
        <f>3.3*C565/100</f>
        <v>0.66</v>
      </c>
      <c r="E565" s="42">
        <f>7.5*C565/100</f>
        <v>1.5</v>
      </c>
      <c r="F565" s="42">
        <f>81.8*C565/100</f>
        <v>16.36</v>
      </c>
      <c r="G565" s="42">
        <f>407.9*C565/100</f>
        <v>81.58</v>
      </c>
      <c r="H565" s="42">
        <f>0.02*C565/100</f>
        <v>4.0000000000000001E-3</v>
      </c>
      <c r="I565" s="42">
        <v>0</v>
      </c>
      <c r="J565" s="42">
        <f>0.01*C565/100</f>
        <v>2E-3</v>
      </c>
      <c r="K565" s="42">
        <v>0</v>
      </c>
      <c r="L565" s="48">
        <f>148*C565/100</f>
        <v>29.6</v>
      </c>
      <c r="M565" s="48">
        <f>151*C565/100</f>
        <v>30.2</v>
      </c>
      <c r="N565" s="48">
        <f>20*C565/100</f>
        <v>4</v>
      </c>
      <c r="O565" s="42">
        <f>0.4*C565/100</f>
        <v>0.08</v>
      </c>
      <c r="P565" s="56">
        <f>0.2*C565/100</f>
        <v>0.04</v>
      </c>
      <c r="Q565" s="56">
        <v>0</v>
      </c>
      <c r="R565" s="67"/>
      <c r="S565" s="67"/>
    </row>
    <row r="566" spans="1:19" s="4" customFormat="1" ht="18.75" customHeight="1" x14ac:dyDescent="0.3">
      <c r="A566" s="49"/>
      <c r="B566" s="218" t="s">
        <v>4</v>
      </c>
      <c r="C566" s="120"/>
      <c r="D566" s="170">
        <f t="shared" ref="D566:Q566" si="98">SUM(D557:D565)</f>
        <v>29.893999999999998</v>
      </c>
      <c r="E566" s="170">
        <f t="shared" si="98"/>
        <v>26.933499999999999</v>
      </c>
      <c r="F566" s="170">
        <f t="shared" si="98"/>
        <v>131.62199999999999</v>
      </c>
      <c r="G566" s="170">
        <f t="shared" si="98"/>
        <v>876.44</v>
      </c>
      <c r="H566" s="170">
        <f t="shared" si="98"/>
        <v>0.81500000000000006</v>
      </c>
      <c r="I566" s="170">
        <f t="shared" si="98"/>
        <v>17.594999999999999</v>
      </c>
      <c r="J566" s="170">
        <f t="shared" si="98"/>
        <v>0.127716</v>
      </c>
      <c r="K566" s="170">
        <f t="shared" si="98"/>
        <v>4.1059999999999999</v>
      </c>
      <c r="L566" s="170">
        <f t="shared" si="98"/>
        <v>270.06100000000004</v>
      </c>
      <c r="M566" s="170">
        <f t="shared" si="98"/>
        <v>486.12</v>
      </c>
      <c r="N566" s="170">
        <f t="shared" si="98"/>
        <v>246.78799999999998</v>
      </c>
      <c r="O566" s="170">
        <f t="shared" si="98"/>
        <v>8.91</v>
      </c>
      <c r="P566" s="55">
        <f t="shared" si="98"/>
        <v>0.54350000000000009</v>
      </c>
      <c r="Q566" s="55">
        <f t="shared" si="98"/>
        <v>16.27</v>
      </c>
      <c r="R566" s="122"/>
      <c r="S566" s="122"/>
    </row>
    <row r="567" spans="1:19" s="4" customFormat="1" ht="18.75" customHeight="1" x14ac:dyDescent="0.25">
      <c r="A567" s="300" t="s">
        <v>35</v>
      </c>
      <c r="B567" s="301"/>
      <c r="C567" s="301"/>
      <c r="D567" s="301"/>
      <c r="E567" s="301"/>
      <c r="F567" s="301"/>
      <c r="G567" s="301"/>
      <c r="H567" s="301"/>
      <c r="I567" s="301"/>
      <c r="J567" s="301"/>
      <c r="K567" s="301"/>
      <c r="L567" s="301"/>
      <c r="M567" s="301"/>
      <c r="N567" s="301"/>
      <c r="O567" s="301"/>
      <c r="P567" s="301"/>
      <c r="Q567" s="301"/>
      <c r="R567" s="301"/>
      <c r="S567" s="347"/>
    </row>
    <row r="568" spans="1:19" s="63" customFormat="1" ht="31.5" x14ac:dyDescent="0.2">
      <c r="A568" s="49">
        <v>1</v>
      </c>
      <c r="B568" s="47" t="s">
        <v>32</v>
      </c>
      <c r="C568" s="41">
        <v>50</v>
      </c>
      <c r="D568" s="60">
        <f>13*C568/100</f>
        <v>6.5</v>
      </c>
      <c r="E568" s="60">
        <f>7.4*C568/100</f>
        <v>3.7</v>
      </c>
      <c r="F568" s="60">
        <f>45.8*C568/100</f>
        <v>22.9</v>
      </c>
      <c r="G568" s="60">
        <f>301.8*C568/100</f>
        <v>150.9</v>
      </c>
      <c r="H568" s="42">
        <f>C568*0.15/100</f>
        <v>7.4999999999999997E-2</v>
      </c>
      <c r="I568" s="42">
        <f>C568*2.46/100</f>
        <v>1.23</v>
      </c>
      <c r="J568" s="42">
        <f>C568*0.04/100</f>
        <v>0.02</v>
      </c>
      <c r="K568" s="42">
        <f>C568*2.76/100</f>
        <v>1.38</v>
      </c>
      <c r="L568" s="48">
        <f>C568*89.34/100</f>
        <v>44.67</v>
      </c>
      <c r="M568" s="48">
        <f>C568*134.93/100</f>
        <v>67.465000000000003</v>
      </c>
      <c r="N568" s="48">
        <f>C568*19.22/100</f>
        <v>9.61</v>
      </c>
      <c r="O568" s="42">
        <f>C568*0.83/100</f>
        <v>0.41499999999999998</v>
      </c>
      <c r="P568" s="49">
        <f>0.15*C568/100</f>
        <v>7.4999999999999997E-2</v>
      </c>
      <c r="Q568" s="49">
        <v>0.43</v>
      </c>
      <c r="R568" s="183" t="s">
        <v>254</v>
      </c>
      <c r="S568" s="67">
        <v>190306</v>
      </c>
    </row>
    <row r="569" spans="1:19" s="52" customFormat="1" x14ac:dyDescent="0.2">
      <c r="A569" s="49">
        <v>2</v>
      </c>
      <c r="B569" s="47" t="s">
        <v>282</v>
      </c>
      <c r="C569" s="41">
        <v>200</v>
      </c>
      <c r="D569" s="94">
        <f>2.9*C569/100</f>
        <v>5.8</v>
      </c>
      <c r="E569" s="94">
        <f>3.2*C569/100</f>
        <v>6.4</v>
      </c>
      <c r="F569" s="94">
        <v>7.6</v>
      </c>
      <c r="G569" s="94">
        <f>56*C569/100</f>
        <v>112</v>
      </c>
      <c r="H569" s="42">
        <v>0.08</v>
      </c>
      <c r="I569" s="42">
        <v>0.32</v>
      </c>
      <c r="J569" s="42">
        <v>0.04</v>
      </c>
      <c r="K569" s="42">
        <f>0*C569/100</f>
        <v>0</v>
      </c>
      <c r="L569" s="48">
        <v>240</v>
      </c>
      <c r="M569" s="48">
        <v>196</v>
      </c>
      <c r="N569" s="48">
        <f>15*C569/100</f>
        <v>30</v>
      </c>
      <c r="O569" s="42">
        <v>0.2</v>
      </c>
      <c r="P569" s="49">
        <v>0.32</v>
      </c>
      <c r="Q569" s="49">
        <v>18</v>
      </c>
      <c r="R569" s="67">
        <v>230101</v>
      </c>
      <c r="S569" s="67"/>
    </row>
    <row r="570" spans="1:19" s="4" customFormat="1" ht="18.75" customHeight="1" x14ac:dyDescent="0.25">
      <c r="A570" s="49"/>
      <c r="B570" s="132" t="s">
        <v>4</v>
      </c>
      <c r="C570" s="120"/>
      <c r="D570" s="172">
        <f t="shared" ref="D570:Q570" si="99">SUM(D568:D569)</f>
        <v>12.3</v>
      </c>
      <c r="E570" s="172">
        <f t="shared" si="99"/>
        <v>10.100000000000001</v>
      </c>
      <c r="F570" s="172">
        <f t="shared" si="99"/>
        <v>30.5</v>
      </c>
      <c r="G570" s="172">
        <f t="shared" si="99"/>
        <v>262.89999999999998</v>
      </c>
      <c r="H570" s="172">
        <f t="shared" si="99"/>
        <v>0.155</v>
      </c>
      <c r="I570" s="172">
        <f t="shared" si="99"/>
        <v>1.55</v>
      </c>
      <c r="J570" s="172">
        <f t="shared" si="99"/>
        <v>0.06</v>
      </c>
      <c r="K570" s="172">
        <f t="shared" si="99"/>
        <v>1.38</v>
      </c>
      <c r="L570" s="172">
        <f t="shared" si="99"/>
        <v>284.67</v>
      </c>
      <c r="M570" s="172">
        <f t="shared" si="99"/>
        <v>263.46500000000003</v>
      </c>
      <c r="N570" s="172">
        <f t="shared" si="99"/>
        <v>39.61</v>
      </c>
      <c r="O570" s="172">
        <f t="shared" si="99"/>
        <v>0.61499999999999999</v>
      </c>
      <c r="P570" s="170">
        <f t="shared" si="99"/>
        <v>0.39500000000000002</v>
      </c>
      <c r="Q570" s="170">
        <f t="shared" si="99"/>
        <v>18.43</v>
      </c>
      <c r="R570" s="122"/>
      <c r="S570" s="122"/>
    </row>
    <row r="571" spans="1:19" s="4" customFormat="1" ht="18.75" customHeight="1" x14ac:dyDescent="0.25">
      <c r="A571" s="49"/>
      <c r="B571" s="132" t="s">
        <v>7</v>
      </c>
      <c r="C571" s="120"/>
      <c r="D571" s="170">
        <f t="shared" ref="D571:Q571" si="100">D555+D566+D570</f>
        <v>52.825999999999993</v>
      </c>
      <c r="E571" s="170">
        <f t="shared" si="100"/>
        <v>55.723500000000001</v>
      </c>
      <c r="F571" s="170">
        <f t="shared" si="100"/>
        <v>262.87199999999996</v>
      </c>
      <c r="G571" s="170">
        <f t="shared" si="100"/>
        <v>1742.04</v>
      </c>
      <c r="H571" s="170">
        <f t="shared" si="100"/>
        <v>1.8380000000000003</v>
      </c>
      <c r="I571" s="170">
        <f t="shared" si="100"/>
        <v>36.344999999999999</v>
      </c>
      <c r="J571" s="170">
        <f t="shared" si="100"/>
        <v>0.18771599999999999</v>
      </c>
      <c r="K571" s="170">
        <f t="shared" si="100"/>
        <v>9.7859999999999978</v>
      </c>
      <c r="L571" s="170">
        <f t="shared" si="100"/>
        <v>684.09100000000012</v>
      </c>
      <c r="M571" s="170">
        <f t="shared" si="100"/>
        <v>827.51499999999999</v>
      </c>
      <c r="N571" s="170">
        <f t="shared" si="100"/>
        <v>298.44299999999998</v>
      </c>
      <c r="O571" s="170">
        <f t="shared" si="100"/>
        <v>14.675000000000001</v>
      </c>
      <c r="P571" s="170">
        <f t="shared" si="100"/>
        <v>1.5985</v>
      </c>
      <c r="Q571" s="170">
        <f t="shared" si="100"/>
        <v>44.480000000000004</v>
      </c>
      <c r="R571" s="122"/>
      <c r="S571" s="122"/>
    </row>
    <row r="572" spans="1:19" s="4" customFormat="1" ht="21.75" customHeight="1" x14ac:dyDescent="0.3">
      <c r="A572" s="49"/>
      <c r="B572" s="132" t="s">
        <v>153</v>
      </c>
      <c r="C572" s="133"/>
      <c r="D572" s="170">
        <f t="shared" ref="D572:Q572" si="101">(D455+D477+D501+D523+D548+D571)/6</f>
        <v>56.36783333333333</v>
      </c>
      <c r="E572" s="170">
        <f t="shared" si="101"/>
        <v>60.513500000000001</v>
      </c>
      <c r="F572" s="170">
        <f t="shared" si="101"/>
        <v>229.13016666666667</v>
      </c>
      <c r="G572" s="170">
        <f t="shared" si="101"/>
        <v>1676.1478333333332</v>
      </c>
      <c r="H572" s="170">
        <f t="shared" si="101"/>
        <v>1.3020666666666669</v>
      </c>
      <c r="I572" s="170">
        <f t="shared" si="101"/>
        <v>122.98466666666667</v>
      </c>
      <c r="J572" s="170">
        <f t="shared" si="101"/>
        <v>0.62090533333333331</v>
      </c>
      <c r="K572" s="170">
        <f t="shared" si="101"/>
        <v>7.4251666666666667</v>
      </c>
      <c r="L572" s="170">
        <f t="shared" si="101"/>
        <v>676.42450000000008</v>
      </c>
      <c r="M572" s="170">
        <f t="shared" si="101"/>
        <v>753.2258333333333</v>
      </c>
      <c r="N572" s="170">
        <f t="shared" si="101"/>
        <v>226.79249999999999</v>
      </c>
      <c r="O572" s="170">
        <f t="shared" si="101"/>
        <v>11.561199999999999</v>
      </c>
      <c r="P572" s="170">
        <f t="shared" si="101"/>
        <v>1.2199500000000001</v>
      </c>
      <c r="Q572" s="170">
        <f t="shared" si="101"/>
        <v>46.149166666666666</v>
      </c>
      <c r="R572" s="122"/>
      <c r="S572" s="122"/>
    </row>
    <row r="573" spans="1:19" x14ac:dyDescent="0.3">
      <c r="A573" s="49"/>
      <c r="B573" s="132" t="s">
        <v>154</v>
      </c>
      <c r="C573" s="133"/>
      <c r="D573" s="170">
        <f t="shared" ref="D573:Q573" si="102">(D155+D295+D431+D572)/4</f>
        <v>59.130187499999991</v>
      </c>
      <c r="E573" s="170">
        <f t="shared" si="102"/>
        <v>57.131354166666661</v>
      </c>
      <c r="F573" s="170">
        <f t="shared" si="102"/>
        <v>225.17791666666668</v>
      </c>
      <c r="G573" s="170">
        <f t="shared" si="102"/>
        <v>1638.2996250000001</v>
      </c>
      <c r="H573" s="170">
        <f t="shared" si="102"/>
        <v>1.3196833333333333</v>
      </c>
      <c r="I573" s="170">
        <f t="shared" si="102"/>
        <v>102.29816666666666</v>
      </c>
      <c r="J573" s="170">
        <f t="shared" si="102"/>
        <v>1.2378276666666665</v>
      </c>
      <c r="K573" s="170">
        <f t="shared" si="102"/>
        <v>6.6547499999999999</v>
      </c>
      <c r="L573" s="170">
        <f t="shared" si="102"/>
        <v>601.7897916666667</v>
      </c>
      <c r="M573" s="170">
        <f t="shared" si="102"/>
        <v>753.95904166666674</v>
      </c>
      <c r="N573" s="170">
        <f t="shared" si="102"/>
        <v>213.21747916666666</v>
      </c>
      <c r="O573" s="170">
        <f t="shared" si="102"/>
        <v>11.263124999999999</v>
      </c>
      <c r="P573" s="170">
        <f t="shared" si="102"/>
        <v>1.1953082291666668</v>
      </c>
      <c r="Q573" s="170">
        <f t="shared" si="102"/>
        <v>46.094979166666661</v>
      </c>
      <c r="R573" s="122"/>
      <c r="S573" s="122"/>
    </row>
    <row r="574" spans="1:19" ht="18.75" customHeight="1" x14ac:dyDescent="0.25">
      <c r="A574" s="254"/>
      <c r="B574" s="342" t="s">
        <v>279</v>
      </c>
      <c r="C574" s="342"/>
      <c r="D574" s="342"/>
      <c r="E574" s="342"/>
      <c r="F574" s="342"/>
      <c r="G574" s="342"/>
      <c r="H574" s="342"/>
      <c r="I574" s="342"/>
      <c r="J574" s="342"/>
      <c r="K574" s="342"/>
      <c r="L574" s="342"/>
      <c r="M574" s="342"/>
      <c r="N574" s="342"/>
      <c r="O574" s="342"/>
      <c r="P574" s="263"/>
      <c r="Q574" s="263"/>
      <c r="R574" s="264"/>
      <c r="S574" s="264"/>
    </row>
    <row r="575" spans="1:19" ht="18.75" customHeight="1" x14ac:dyDescent="0.25">
      <c r="A575" s="252"/>
      <c r="B575" s="342" t="s">
        <v>280</v>
      </c>
      <c r="C575" s="342"/>
      <c r="D575" s="342"/>
      <c r="E575" s="342"/>
      <c r="F575" s="342"/>
      <c r="G575" s="342"/>
      <c r="H575" s="342"/>
      <c r="I575" s="342"/>
      <c r="J575" s="342"/>
      <c r="K575" s="342"/>
      <c r="L575" s="342"/>
      <c r="M575" s="342"/>
      <c r="N575" s="342"/>
      <c r="O575" s="342"/>
      <c r="P575" s="263"/>
      <c r="Q575" s="263"/>
      <c r="R575" s="264"/>
      <c r="S575" s="264"/>
    </row>
    <row r="576" spans="1:19" x14ac:dyDescent="0.3">
      <c r="A576" s="119"/>
      <c r="B576" s="79"/>
      <c r="C576" s="262"/>
      <c r="D576" s="263"/>
      <c r="E576" s="263"/>
      <c r="F576" s="263"/>
      <c r="G576" s="263"/>
      <c r="H576" s="263"/>
      <c r="I576" s="263"/>
      <c r="J576" s="263"/>
      <c r="K576" s="263"/>
      <c r="L576" s="263"/>
      <c r="M576" s="263"/>
      <c r="N576" s="263"/>
      <c r="O576" s="263"/>
      <c r="P576" s="263"/>
      <c r="Q576" s="263"/>
      <c r="R576" s="264"/>
      <c r="S576" s="264"/>
    </row>
    <row r="577" spans="1:19" s="4" customFormat="1" ht="20.25" x14ac:dyDescent="0.3">
      <c r="A577" s="134"/>
      <c r="B577" s="135" t="s">
        <v>73</v>
      </c>
      <c r="C577" s="136"/>
      <c r="D577" s="137"/>
      <c r="E577" s="137"/>
      <c r="F577" s="137"/>
      <c r="G577" s="137"/>
      <c r="H577" s="138"/>
      <c r="I577" s="138"/>
      <c r="J577" s="138"/>
      <c r="K577" s="138"/>
      <c r="L577" s="138"/>
      <c r="M577" s="138"/>
      <c r="N577" s="138"/>
      <c r="O577" s="138"/>
      <c r="P577" s="139"/>
      <c r="Q577" s="139"/>
      <c r="R577" s="53"/>
      <c r="S577" s="53"/>
    </row>
    <row r="578" spans="1:19" s="4" customFormat="1" ht="20.25" x14ac:dyDescent="0.3">
      <c r="A578" s="134"/>
      <c r="B578" s="140" t="s">
        <v>74</v>
      </c>
      <c r="C578" s="136"/>
      <c r="D578" s="137">
        <f t="shared" ref="D578:Q578" si="103">SUM(D15,D41,D65,D90,D114,D138)/6</f>
        <v>20.604500000000002</v>
      </c>
      <c r="E578" s="137">
        <f t="shared" si="103"/>
        <v>19.763833333333334</v>
      </c>
      <c r="F578" s="137">
        <f t="shared" si="103"/>
        <v>75.988166666666658</v>
      </c>
      <c r="G578" s="137">
        <f t="shared" si="103"/>
        <v>566.2600000000001</v>
      </c>
      <c r="H578" s="137">
        <f t="shared" si="103"/>
        <v>0.4147333333333334</v>
      </c>
      <c r="I578" s="137">
        <f t="shared" si="103"/>
        <v>50.085333333333331</v>
      </c>
      <c r="J578" s="137">
        <f t="shared" si="103"/>
        <v>0.10366666666666667</v>
      </c>
      <c r="K578" s="137">
        <f t="shared" si="103"/>
        <v>1.8123333333333334</v>
      </c>
      <c r="L578" s="137">
        <f t="shared" si="103"/>
        <v>222.71516666666665</v>
      </c>
      <c r="M578" s="137">
        <f t="shared" si="103"/>
        <v>236.13766666666666</v>
      </c>
      <c r="N578" s="137">
        <f t="shared" si="103"/>
        <v>64.487833333333342</v>
      </c>
      <c r="O578" s="137">
        <f t="shared" si="103"/>
        <v>2.835833333333333</v>
      </c>
      <c r="P578" s="137">
        <f t="shared" si="103"/>
        <v>0.44103333333333339</v>
      </c>
      <c r="Q578" s="137">
        <f t="shared" si="103"/>
        <v>11.420000000000002</v>
      </c>
      <c r="R578" s="53"/>
      <c r="S578" s="53"/>
    </row>
    <row r="579" spans="1:19" s="4" customFormat="1" ht="18.75" customHeight="1" x14ac:dyDescent="0.3">
      <c r="A579" s="134"/>
      <c r="B579" s="140" t="s">
        <v>75</v>
      </c>
      <c r="C579" s="136"/>
      <c r="D579" s="137">
        <f t="shared" ref="D579:Q579" si="104">D578+SUM(D26,D52,D74,D101,D124,D148)/6</f>
        <v>53.576583333333332</v>
      </c>
      <c r="E579" s="137">
        <f t="shared" si="104"/>
        <v>46.757416666666671</v>
      </c>
      <c r="F579" s="137">
        <f t="shared" si="104"/>
        <v>191.82566666666662</v>
      </c>
      <c r="G579" s="137">
        <f t="shared" si="104"/>
        <v>1394.7158333333336</v>
      </c>
      <c r="H579" s="137">
        <f t="shared" si="104"/>
        <v>1.1640333333333333</v>
      </c>
      <c r="I579" s="137">
        <f t="shared" si="104"/>
        <v>107.16883333333334</v>
      </c>
      <c r="J579" s="137">
        <f t="shared" si="104"/>
        <v>1.4301666666666664</v>
      </c>
      <c r="K579" s="137">
        <f t="shared" si="104"/>
        <v>4.6301666666666668</v>
      </c>
      <c r="L579" s="137">
        <f t="shared" si="104"/>
        <v>461.13866666666667</v>
      </c>
      <c r="M579" s="137">
        <f t="shared" si="104"/>
        <v>759.36350000000004</v>
      </c>
      <c r="N579" s="137">
        <f t="shared" si="104"/>
        <v>228.60425000000004</v>
      </c>
      <c r="O579" s="137">
        <f t="shared" si="104"/>
        <v>12.555433333333333</v>
      </c>
      <c r="P579" s="137">
        <f t="shared" si="104"/>
        <v>1.2061995833333334</v>
      </c>
      <c r="Q579" s="137">
        <f t="shared" si="104"/>
        <v>53.348500000000008</v>
      </c>
      <c r="R579" s="53"/>
      <c r="S579" s="53"/>
    </row>
    <row r="580" spans="1:19" s="4" customFormat="1" ht="20.25" x14ac:dyDescent="0.3">
      <c r="A580" s="134"/>
      <c r="B580" s="140" t="s">
        <v>76</v>
      </c>
      <c r="C580" s="136"/>
      <c r="D580" s="137">
        <f t="shared" ref="D580:Q580" si="105">SUM(D31,D57,D82,D106,D129,D154)/6</f>
        <v>63.058916666666654</v>
      </c>
      <c r="E580" s="137">
        <f t="shared" si="105"/>
        <v>56.119749999999989</v>
      </c>
      <c r="F580" s="137">
        <f t="shared" si="105"/>
        <v>231.524</v>
      </c>
      <c r="G580" s="137">
        <f t="shared" si="105"/>
        <v>1673.8024999999998</v>
      </c>
      <c r="H580" s="137">
        <f t="shared" si="105"/>
        <v>1.4168666666666667</v>
      </c>
      <c r="I580" s="137">
        <f t="shared" si="105"/>
        <v>119.24549999999999</v>
      </c>
      <c r="J580" s="137">
        <f t="shared" si="105"/>
        <v>1.6194999999999997</v>
      </c>
      <c r="K580" s="137">
        <f t="shared" si="105"/>
        <v>5.8168333333333342</v>
      </c>
      <c r="L580" s="137">
        <f t="shared" si="105"/>
        <v>594.29466666666667</v>
      </c>
      <c r="M580" s="137">
        <f t="shared" si="105"/>
        <v>864.56100000000004</v>
      </c>
      <c r="N580" s="137">
        <f t="shared" si="105"/>
        <v>248.82424999999998</v>
      </c>
      <c r="O580" s="137">
        <f t="shared" si="105"/>
        <v>13.412766666666665</v>
      </c>
      <c r="P580" s="137">
        <f t="shared" si="105"/>
        <v>1.3478662500000003</v>
      </c>
      <c r="Q580" s="137">
        <f t="shared" si="105"/>
        <v>58.098500000000001</v>
      </c>
      <c r="R580" s="53"/>
      <c r="S580" s="53"/>
    </row>
    <row r="581" spans="1:19" s="4" customFormat="1" ht="20.25" x14ac:dyDescent="0.3">
      <c r="A581" s="134"/>
      <c r="B581" s="140"/>
      <c r="C581" s="136"/>
      <c r="D581" s="137"/>
      <c r="E581" s="137"/>
      <c r="F581" s="137"/>
      <c r="G581" s="137"/>
      <c r="H581" s="138"/>
      <c r="I581" s="138"/>
      <c r="J581" s="138"/>
      <c r="K581" s="138"/>
      <c r="L581" s="138"/>
      <c r="M581" s="138"/>
      <c r="N581" s="138"/>
      <c r="O581" s="138"/>
      <c r="P581" s="139"/>
      <c r="Q581" s="139"/>
      <c r="R581" s="53"/>
      <c r="S581" s="53"/>
    </row>
    <row r="582" spans="1:19" s="4" customFormat="1" ht="20.25" x14ac:dyDescent="0.3">
      <c r="A582" s="134"/>
      <c r="B582" s="140" t="s">
        <v>77</v>
      </c>
      <c r="C582" s="136"/>
      <c r="D582" s="137"/>
      <c r="E582" s="137"/>
      <c r="F582" s="137"/>
      <c r="G582" s="137"/>
      <c r="H582" s="138"/>
      <c r="I582" s="138"/>
      <c r="J582" s="138"/>
      <c r="K582" s="138"/>
      <c r="L582" s="138"/>
      <c r="M582" s="138"/>
      <c r="N582" s="138"/>
      <c r="O582" s="138"/>
      <c r="P582" s="139"/>
      <c r="Q582" s="139"/>
      <c r="R582" s="53"/>
      <c r="S582" s="53"/>
    </row>
    <row r="583" spans="1:19" s="4" customFormat="1" ht="20.25" x14ac:dyDescent="0.3">
      <c r="A583" s="134"/>
      <c r="B583" s="140" t="s">
        <v>74</v>
      </c>
      <c r="C583" s="136"/>
      <c r="D583" s="137">
        <f t="shared" ref="D583:Q583" si="106">SUM(D163,D187,D210,D234,D257,D279)/6</f>
        <v>18.924666666666667</v>
      </c>
      <c r="E583" s="137">
        <f t="shared" si="106"/>
        <v>17.283333333333331</v>
      </c>
      <c r="F583" s="137">
        <f t="shared" si="106"/>
        <v>77.45</v>
      </c>
      <c r="G583" s="137">
        <f t="shared" si="106"/>
        <v>553.20666666666671</v>
      </c>
      <c r="H583" s="137">
        <f t="shared" si="106"/>
        <v>0.35933333333333334</v>
      </c>
      <c r="I583" s="137">
        <f t="shared" si="106"/>
        <v>20.41333333333333</v>
      </c>
      <c r="J583" s="137">
        <f t="shared" si="106"/>
        <v>7.6999999999999999E-2</v>
      </c>
      <c r="K583" s="137">
        <f t="shared" si="106"/>
        <v>1.6641666666666666</v>
      </c>
      <c r="L583" s="137">
        <f t="shared" si="106"/>
        <v>226.21249999999998</v>
      </c>
      <c r="M583" s="137">
        <f t="shared" si="106"/>
        <v>220.67083333333332</v>
      </c>
      <c r="N583" s="137">
        <f t="shared" si="106"/>
        <v>60.712500000000006</v>
      </c>
      <c r="O583" s="137">
        <f t="shared" si="106"/>
        <v>2.2812000000000001</v>
      </c>
      <c r="P583" s="137">
        <f t="shared" si="106"/>
        <v>0.318</v>
      </c>
      <c r="Q583" s="137">
        <f t="shared" si="106"/>
        <v>5.0358333333333336</v>
      </c>
      <c r="R583" s="53"/>
      <c r="S583" s="53"/>
    </row>
    <row r="584" spans="1:19" s="4" customFormat="1" ht="20.25" x14ac:dyDescent="0.3">
      <c r="A584" s="134"/>
      <c r="B584" s="140" t="s">
        <v>75</v>
      </c>
      <c r="C584" s="136"/>
      <c r="D584" s="137">
        <f t="shared" ref="D584:Q584" si="107">D583+SUM(D173,D197,D219,D244,D267,D289)/6</f>
        <v>47.140416666666667</v>
      </c>
      <c r="E584" s="137">
        <f t="shared" si="107"/>
        <v>45.13858333333333</v>
      </c>
      <c r="F584" s="137">
        <f t="shared" si="107"/>
        <v>183.28883333333334</v>
      </c>
      <c r="G584" s="137">
        <f t="shared" si="107"/>
        <v>1322.9995000000001</v>
      </c>
      <c r="H584" s="137">
        <f t="shared" si="107"/>
        <v>0.96966666666666668</v>
      </c>
      <c r="I584" s="137">
        <f t="shared" si="107"/>
        <v>67.474333333333334</v>
      </c>
      <c r="J584" s="137">
        <f t="shared" si="107"/>
        <v>0.19123866666666667</v>
      </c>
      <c r="K584" s="137">
        <f t="shared" si="107"/>
        <v>5.0953333333333326</v>
      </c>
      <c r="L584" s="137">
        <f t="shared" si="107"/>
        <v>421.73383333333334</v>
      </c>
      <c r="M584" s="137">
        <f t="shared" si="107"/>
        <v>593.59950000000003</v>
      </c>
      <c r="N584" s="137">
        <f t="shared" si="107"/>
        <v>177.30983333333336</v>
      </c>
      <c r="O584" s="137">
        <f t="shared" si="107"/>
        <v>10.175066666666668</v>
      </c>
      <c r="P584" s="137">
        <f t="shared" si="107"/>
        <v>1.0717500000000002</v>
      </c>
      <c r="Q584" s="137">
        <f t="shared" si="107"/>
        <v>22.138916666666667</v>
      </c>
      <c r="R584" s="53"/>
      <c r="S584" s="53"/>
    </row>
    <row r="585" spans="1:19" s="4" customFormat="1" ht="20.25" x14ac:dyDescent="0.3">
      <c r="A585" s="134"/>
      <c r="B585" s="140" t="s">
        <v>76</v>
      </c>
      <c r="C585" s="136"/>
      <c r="D585" s="137">
        <f t="shared" ref="D585:Q585" si="108">SUM(D178,D202,D224,D249,D272,D294)/6</f>
        <v>56.057083333333338</v>
      </c>
      <c r="E585" s="137">
        <f t="shared" si="108"/>
        <v>56.425249999999984</v>
      </c>
      <c r="F585" s="137">
        <f t="shared" si="108"/>
        <v>226.65049999999999</v>
      </c>
      <c r="G585" s="137">
        <f t="shared" si="108"/>
        <v>1632.1345000000001</v>
      </c>
      <c r="H585" s="137">
        <f t="shared" si="108"/>
        <v>1.3671666666666666</v>
      </c>
      <c r="I585" s="137">
        <f t="shared" si="108"/>
        <v>83.67349999999999</v>
      </c>
      <c r="J585" s="137">
        <f t="shared" si="108"/>
        <v>0.66923866666666676</v>
      </c>
      <c r="K585" s="137">
        <f t="shared" si="108"/>
        <v>7.011166666666667</v>
      </c>
      <c r="L585" s="137">
        <f t="shared" si="108"/>
        <v>509.75133333333338</v>
      </c>
      <c r="M585" s="137">
        <f t="shared" si="108"/>
        <v>672.99783333333335</v>
      </c>
      <c r="N585" s="137">
        <f t="shared" si="108"/>
        <v>194.94233333333332</v>
      </c>
      <c r="O585" s="137">
        <f t="shared" si="108"/>
        <v>11.016733333333335</v>
      </c>
      <c r="P585" s="137">
        <f t="shared" si="108"/>
        <v>1.2109166666666666</v>
      </c>
      <c r="Q585" s="137">
        <f t="shared" si="108"/>
        <v>32.990583333333333</v>
      </c>
      <c r="R585" s="53"/>
      <c r="S585" s="53"/>
    </row>
    <row r="586" spans="1:19" ht="20.25" x14ac:dyDescent="0.3">
      <c r="C586" s="136"/>
      <c r="D586" s="137"/>
      <c r="E586" s="137"/>
      <c r="F586" s="137"/>
      <c r="G586" s="137"/>
      <c r="H586" s="138"/>
      <c r="I586" s="138"/>
      <c r="J586" s="138"/>
      <c r="K586" s="138"/>
      <c r="L586" s="138"/>
      <c r="M586" s="138"/>
      <c r="N586" s="138"/>
      <c r="O586" s="138"/>
      <c r="P586" s="141"/>
      <c r="Q586" s="141"/>
      <c r="R586" s="142"/>
      <c r="S586" s="142"/>
    </row>
    <row r="587" spans="1:19" ht="20.25" x14ac:dyDescent="0.3">
      <c r="B587" s="140" t="s">
        <v>78</v>
      </c>
      <c r="C587" s="136"/>
      <c r="D587" s="137"/>
      <c r="E587" s="137"/>
      <c r="F587" s="137"/>
      <c r="G587" s="137"/>
      <c r="H587" s="138"/>
      <c r="I587" s="138"/>
      <c r="J587" s="138"/>
      <c r="K587" s="138"/>
      <c r="L587" s="138"/>
      <c r="M587" s="138"/>
      <c r="N587" s="138"/>
      <c r="O587" s="138"/>
      <c r="P587" s="141"/>
      <c r="Q587" s="141"/>
      <c r="R587" s="142"/>
      <c r="S587" s="142"/>
    </row>
    <row r="588" spans="1:19" ht="20.25" x14ac:dyDescent="0.3">
      <c r="B588" s="140" t="s">
        <v>74</v>
      </c>
      <c r="C588" s="136"/>
      <c r="D588" s="137">
        <f t="shared" ref="D588:Q588" si="109">SUM(D303,D327,D350,D372,D393,D417)/6</f>
        <v>22.767166666666668</v>
      </c>
      <c r="E588" s="137">
        <f t="shared" si="109"/>
        <v>18.123333333333331</v>
      </c>
      <c r="F588" s="137">
        <f t="shared" si="109"/>
        <v>75.644166666666663</v>
      </c>
      <c r="G588" s="137">
        <f t="shared" si="109"/>
        <v>554.63666666666666</v>
      </c>
      <c r="H588" s="137">
        <f t="shared" si="109"/>
        <v>0.42066666666666669</v>
      </c>
      <c r="I588" s="137">
        <f t="shared" si="109"/>
        <v>23.293333333333333</v>
      </c>
      <c r="J588" s="137">
        <f t="shared" si="109"/>
        <v>0.24800000000000003</v>
      </c>
      <c r="K588" s="137">
        <f t="shared" si="109"/>
        <v>0.92616666666666669</v>
      </c>
      <c r="L588" s="137">
        <f t="shared" si="109"/>
        <v>270.85983333333337</v>
      </c>
      <c r="M588" s="137">
        <f t="shared" si="109"/>
        <v>246.93983333333333</v>
      </c>
      <c r="N588" s="137">
        <f t="shared" si="109"/>
        <v>45.930166666666672</v>
      </c>
      <c r="O588" s="137">
        <f t="shared" si="109"/>
        <v>1.6793000000000002</v>
      </c>
      <c r="P588" s="137">
        <f t="shared" si="109"/>
        <v>0.41883333333333339</v>
      </c>
      <c r="Q588" s="137">
        <f t="shared" si="109"/>
        <v>18.045000000000002</v>
      </c>
      <c r="R588" s="142"/>
      <c r="S588" s="142"/>
    </row>
    <row r="589" spans="1:19" ht="20.25" x14ac:dyDescent="0.3">
      <c r="B589" s="140" t="s">
        <v>75</v>
      </c>
      <c r="C589" s="136"/>
      <c r="D589" s="137">
        <f t="shared" ref="D589:Q589" si="110">D588+SUM(D312,D335,D360,D380,D403,D425)/6</f>
        <v>52.725583333333333</v>
      </c>
      <c r="E589" s="137">
        <f t="shared" si="110"/>
        <v>44.597916666666663</v>
      </c>
      <c r="F589" s="137">
        <f t="shared" si="110"/>
        <v>174.63699999999997</v>
      </c>
      <c r="G589" s="137">
        <f t="shared" si="110"/>
        <v>1291.0366666666666</v>
      </c>
      <c r="H589" s="137">
        <f t="shared" si="110"/>
        <v>0.99829999999999997</v>
      </c>
      <c r="I589" s="137">
        <f t="shared" si="110"/>
        <v>77.150333333333336</v>
      </c>
      <c r="J589" s="137">
        <f t="shared" si="110"/>
        <v>1.8194999999999997</v>
      </c>
      <c r="K589" s="137">
        <f t="shared" si="110"/>
        <v>5.5503333333333336</v>
      </c>
      <c r="L589" s="137">
        <f t="shared" si="110"/>
        <v>458.18316666666675</v>
      </c>
      <c r="M589" s="137">
        <f t="shared" si="110"/>
        <v>603.55683333333332</v>
      </c>
      <c r="N589" s="137">
        <f t="shared" si="110"/>
        <v>160.81666666666666</v>
      </c>
      <c r="O589" s="137">
        <f t="shared" si="110"/>
        <v>8.2221333333333337</v>
      </c>
      <c r="P589" s="137">
        <f t="shared" si="110"/>
        <v>0.82350000000000012</v>
      </c>
      <c r="Q589" s="137">
        <f t="shared" si="110"/>
        <v>44.716666666666669</v>
      </c>
      <c r="R589" s="142"/>
      <c r="S589" s="142"/>
    </row>
    <row r="590" spans="1:19" ht="20.25" x14ac:dyDescent="0.3">
      <c r="B590" s="140" t="s">
        <v>76</v>
      </c>
      <c r="C590" s="136"/>
      <c r="D590" s="137">
        <f t="shared" ref="D590:Q590" si="111">SUM(D318,D341,D365,D385,D408,D430)/6</f>
        <v>61.036916666666663</v>
      </c>
      <c r="E590" s="137">
        <f t="shared" si="111"/>
        <v>55.466916666666663</v>
      </c>
      <c r="F590" s="137">
        <f t="shared" si="111"/>
        <v>213.40700000000001</v>
      </c>
      <c r="G590" s="137">
        <f t="shared" si="111"/>
        <v>1571.1136666666669</v>
      </c>
      <c r="H590" s="137">
        <f t="shared" si="111"/>
        <v>1.1926333333333334</v>
      </c>
      <c r="I590" s="137">
        <f t="shared" si="111"/>
        <v>83.289000000000001</v>
      </c>
      <c r="J590" s="137">
        <f t="shared" si="111"/>
        <v>2.0416666666666665</v>
      </c>
      <c r="K590" s="137">
        <f t="shared" si="111"/>
        <v>6.3658333333333337</v>
      </c>
      <c r="L590" s="137">
        <f t="shared" si="111"/>
        <v>626.68866666666656</v>
      </c>
      <c r="M590" s="137">
        <f t="shared" si="111"/>
        <v>725.05150000000003</v>
      </c>
      <c r="N590" s="137">
        <f t="shared" si="111"/>
        <v>182.31083333333333</v>
      </c>
      <c r="O590" s="137">
        <f t="shared" si="111"/>
        <v>9.0618000000000016</v>
      </c>
      <c r="P590" s="137">
        <f t="shared" si="111"/>
        <v>1.0025000000000002</v>
      </c>
      <c r="Q590" s="137">
        <f t="shared" si="111"/>
        <v>47.141666666666659</v>
      </c>
      <c r="R590" s="142"/>
      <c r="S590" s="142"/>
    </row>
    <row r="591" spans="1:19" ht="20.25" x14ac:dyDescent="0.3">
      <c r="C591" s="136"/>
      <c r="D591" s="137"/>
      <c r="E591" s="137"/>
      <c r="F591" s="137"/>
      <c r="G591" s="137"/>
      <c r="H591" s="138"/>
      <c r="I591" s="138"/>
      <c r="J591" s="138"/>
      <c r="K591" s="138"/>
      <c r="L591" s="138"/>
      <c r="M591" s="138"/>
      <c r="N591" s="138"/>
      <c r="O591" s="138"/>
      <c r="P591" s="141"/>
      <c r="Q591" s="141"/>
      <c r="R591" s="142"/>
      <c r="S591" s="142"/>
    </row>
    <row r="592" spans="1:19" ht="20.25" x14ac:dyDescent="0.3">
      <c r="B592" s="140" t="s">
        <v>79</v>
      </c>
      <c r="C592" s="136"/>
      <c r="D592" s="137"/>
      <c r="E592" s="137"/>
      <c r="F592" s="137"/>
      <c r="G592" s="137"/>
      <c r="H592" s="138"/>
      <c r="I592" s="138"/>
      <c r="J592" s="138"/>
      <c r="K592" s="138"/>
      <c r="L592" s="138"/>
      <c r="M592" s="138"/>
      <c r="N592" s="138"/>
      <c r="O592" s="138"/>
      <c r="P592" s="141"/>
      <c r="Q592" s="141"/>
      <c r="R592" s="142"/>
      <c r="S592" s="142"/>
    </row>
    <row r="593" spans="1:19" ht="20.25" x14ac:dyDescent="0.3">
      <c r="B593" s="140" t="s">
        <v>74</v>
      </c>
      <c r="C593" s="136"/>
      <c r="D593" s="137">
        <f t="shared" ref="D593:Q593" si="112">SUM(D439,D463,D484,D508,D533,D555)/6</f>
        <v>19.5945</v>
      </c>
      <c r="E593" s="137">
        <f t="shared" si="112"/>
        <v>25.148</v>
      </c>
      <c r="F593" s="137">
        <f t="shared" si="112"/>
        <v>66.201499999999996</v>
      </c>
      <c r="G593" s="137">
        <f t="shared" si="112"/>
        <v>571.57000000000005</v>
      </c>
      <c r="H593" s="137">
        <f t="shared" si="112"/>
        <v>0.4104000000000001</v>
      </c>
      <c r="I593" s="137">
        <f t="shared" si="112"/>
        <v>61.232833333333332</v>
      </c>
      <c r="J593" s="137">
        <f t="shared" si="112"/>
        <v>0.20600000000000004</v>
      </c>
      <c r="K593" s="137">
        <f t="shared" si="112"/>
        <v>1.5081666666666667</v>
      </c>
      <c r="L593" s="137">
        <f t="shared" si="112"/>
        <v>231.36516666666662</v>
      </c>
      <c r="M593" s="137">
        <f t="shared" si="112"/>
        <v>200.66516666666666</v>
      </c>
      <c r="N593" s="137">
        <f t="shared" si="112"/>
        <v>40.713833333333334</v>
      </c>
      <c r="O593" s="137">
        <f t="shared" si="112"/>
        <v>2.5441666666666665</v>
      </c>
      <c r="P593" s="137">
        <f t="shared" si="112"/>
        <v>0.41470000000000001</v>
      </c>
      <c r="Q593" s="137">
        <f t="shared" si="112"/>
        <v>13.675833333333335</v>
      </c>
      <c r="R593" s="142"/>
      <c r="S593" s="142"/>
    </row>
    <row r="594" spans="1:19" ht="20.25" x14ac:dyDescent="0.3">
      <c r="B594" s="140" t="s">
        <v>75</v>
      </c>
      <c r="C594" s="136"/>
      <c r="D594" s="137">
        <f t="shared" ref="D594:Q594" si="113">D593+SUM(D449,D472,D496,D518,D543,D566)/6</f>
        <v>46.786166666666666</v>
      </c>
      <c r="E594" s="137">
        <f t="shared" si="113"/>
        <v>51.561833333333333</v>
      </c>
      <c r="F594" s="137">
        <f t="shared" si="113"/>
        <v>189.31349999999998</v>
      </c>
      <c r="G594" s="137">
        <f t="shared" si="113"/>
        <v>1392.9678333333336</v>
      </c>
      <c r="H594" s="137">
        <f t="shared" si="113"/>
        <v>1.0287333333333333</v>
      </c>
      <c r="I594" s="137">
        <f t="shared" si="113"/>
        <v>113.43966666666665</v>
      </c>
      <c r="J594" s="137">
        <f t="shared" si="113"/>
        <v>0.57673866666666662</v>
      </c>
      <c r="K594" s="137">
        <f t="shared" si="113"/>
        <v>6.2951666666666668</v>
      </c>
      <c r="L594" s="137">
        <f t="shared" si="113"/>
        <v>491.81949999999995</v>
      </c>
      <c r="M594" s="137">
        <f t="shared" si="113"/>
        <v>604.78166666666675</v>
      </c>
      <c r="N594" s="137">
        <f t="shared" si="113"/>
        <v>200.47499999999999</v>
      </c>
      <c r="O594" s="137">
        <f t="shared" si="113"/>
        <v>10.687033333333336</v>
      </c>
      <c r="P594" s="137">
        <f t="shared" si="113"/>
        <v>0.97161666666666657</v>
      </c>
      <c r="Q594" s="137">
        <f t="shared" si="113"/>
        <v>36.292500000000004</v>
      </c>
      <c r="R594" s="142"/>
      <c r="S594" s="142"/>
    </row>
    <row r="595" spans="1:19" s="6" customFormat="1" ht="25.5" x14ac:dyDescent="0.35">
      <c r="A595" s="134"/>
      <c r="B595" s="140" t="s">
        <v>76</v>
      </c>
      <c r="C595" s="136"/>
      <c r="D595" s="137">
        <f t="shared" ref="D595:Q595" si="114">SUM(D455,D477,D501,D523,D548,D571)/6</f>
        <v>56.36783333333333</v>
      </c>
      <c r="E595" s="137">
        <f t="shared" si="114"/>
        <v>60.513500000000001</v>
      </c>
      <c r="F595" s="137">
        <f t="shared" si="114"/>
        <v>229.13016666666667</v>
      </c>
      <c r="G595" s="137">
        <f t="shared" si="114"/>
        <v>1676.1478333333332</v>
      </c>
      <c r="H595" s="137">
        <f t="shared" si="114"/>
        <v>1.3020666666666669</v>
      </c>
      <c r="I595" s="137">
        <f t="shared" si="114"/>
        <v>122.98466666666667</v>
      </c>
      <c r="J595" s="137">
        <f t="shared" si="114"/>
        <v>0.62090533333333331</v>
      </c>
      <c r="K595" s="137">
        <f t="shared" si="114"/>
        <v>7.4251666666666667</v>
      </c>
      <c r="L595" s="137">
        <f t="shared" si="114"/>
        <v>676.42450000000008</v>
      </c>
      <c r="M595" s="137">
        <f t="shared" si="114"/>
        <v>753.2258333333333</v>
      </c>
      <c r="N595" s="137">
        <f t="shared" si="114"/>
        <v>226.79249999999999</v>
      </c>
      <c r="O595" s="137">
        <f t="shared" si="114"/>
        <v>11.561199999999999</v>
      </c>
      <c r="P595" s="137">
        <f t="shared" si="114"/>
        <v>1.2199500000000001</v>
      </c>
      <c r="Q595" s="137">
        <f t="shared" si="114"/>
        <v>46.149166666666666</v>
      </c>
      <c r="R595" s="143"/>
      <c r="S595" s="143"/>
    </row>
    <row r="596" spans="1:19" s="6" customFormat="1" ht="25.5" x14ac:dyDescent="0.35">
      <c r="A596" s="134"/>
      <c r="B596" s="140" t="s">
        <v>80</v>
      </c>
      <c r="C596" s="136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41"/>
      <c r="Q596" s="141"/>
      <c r="R596" s="143"/>
      <c r="S596" s="143"/>
    </row>
    <row r="597" spans="1:19" s="6" customFormat="1" ht="25.5" x14ac:dyDescent="0.35">
      <c r="A597" s="134"/>
      <c r="B597" s="140" t="s">
        <v>81</v>
      </c>
      <c r="C597" s="136"/>
      <c r="D597" s="137">
        <f t="shared" ref="D597:Q597" si="115">(D578+D583+D588+D593)/4</f>
        <v>20.472708333333333</v>
      </c>
      <c r="E597" s="137">
        <f t="shared" si="115"/>
        <v>20.079625</v>
      </c>
      <c r="F597" s="137">
        <f t="shared" si="115"/>
        <v>73.820958333333337</v>
      </c>
      <c r="G597" s="137">
        <f t="shared" si="115"/>
        <v>561.41833333333341</v>
      </c>
      <c r="H597" s="137">
        <f t="shared" si="115"/>
        <v>0.40128333333333338</v>
      </c>
      <c r="I597" s="137">
        <f t="shared" si="115"/>
        <v>38.756208333333333</v>
      </c>
      <c r="J597" s="137">
        <f t="shared" si="115"/>
        <v>0.15866666666666668</v>
      </c>
      <c r="K597" s="137">
        <f t="shared" si="115"/>
        <v>1.4777083333333334</v>
      </c>
      <c r="L597" s="137">
        <f t="shared" si="115"/>
        <v>237.78816666666663</v>
      </c>
      <c r="M597" s="137">
        <f t="shared" si="115"/>
        <v>226.103375</v>
      </c>
      <c r="N597" s="137">
        <f t="shared" si="115"/>
        <v>52.961083333333335</v>
      </c>
      <c r="O597" s="137">
        <f t="shared" si="115"/>
        <v>2.3351250000000001</v>
      </c>
      <c r="P597" s="137">
        <f t="shared" si="115"/>
        <v>0.39814166666666673</v>
      </c>
      <c r="Q597" s="137">
        <f t="shared" si="115"/>
        <v>12.044166666666667</v>
      </c>
      <c r="R597" s="143"/>
      <c r="S597" s="143"/>
    </row>
    <row r="598" spans="1:19" s="6" customFormat="1" ht="25.5" x14ac:dyDescent="0.35">
      <c r="A598" s="134"/>
      <c r="B598" s="140" t="s">
        <v>82</v>
      </c>
      <c r="C598" s="136"/>
      <c r="D598" s="137">
        <f t="shared" ref="D598:Q599" si="116">(D579+D584+D589+D594)/4</f>
        <v>50.057187500000005</v>
      </c>
      <c r="E598" s="137">
        <f t="shared" si="116"/>
        <v>47.013937500000004</v>
      </c>
      <c r="F598" s="137">
        <f t="shared" si="116"/>
        <v>184.76624999999999</v>
      </c>
      <c r="G598" s="137">
        <f t="shared" si="116"/>
        <v>1350.4299583333336</v>
      </c>
      <c r="H598" s="137">
        <f t="shared" si="116"/>
        <v>1.0401833333333332</v>
      </c>
      <c r="I598" s="137">
        <f t="shared" si="116"/>
        <v>91.308291666666662</v>
      </c>
      <c r="J598" s="137">
        <f t="shared" si="116"/>
        <v>1.0044109999999999</v>
      </c>
      <c r="K598" s="137">
        <f t="shared" si="116"/>
        <v>5.3927500000000004</v>
      </c>
      <c r="L598" s="137">
        <f t="shared" si="116"/>
        <v>458.21879166666668</v>
      </c>
      <c r="M598" s="137">
        <f t="shared" si="116"/>
        <v>640.32537500000012</v>
      </c>
      <c r="N598" s="137">
        <f t="shared" si="116"/>
        <v>191.80143750000002</v>
      </c>
      <c r="O598" s="137">
        <f t="shared" si="116"/>
        <v>10.409916666666668</v>
      </c>
      <c r="P598" s="137">
        <f t="shared" si="116"/>
        <v>1.0182665625</v>
      </c>
      <c r="Q598" s="137">
        <f t="shared" si="116"/>
        <v>39.124145833333337</v>
      </c>
      <c r="R598" s="143"/>
      <c r="S598" s="143"/>
    </row>
    <row r="599" spans="1:19" s="6" customFormat="1" ht="25.5" x14ac:dyDescent="0.35">
      <c r="A599" s="134"/>
      <c r="B599" s="140" t="s">
        <v>83</v>
      </c>
      <c r="C599" s="136"/>
      <c r="D599" s="137">
        <f t="shared" si="116"/>
        <v>59.130187499999991</v>
      </c>
      <c r="E599" s="137">
        <f t="shared" si="116"/>
        <v>57.131354166666661</v>
      </c>
      <c r="F599" s="137">
        <f t="shared" si="116"/>
        <v>225.17791666666668</v>
      </c>
      <c r="G599" s="137">
        <f t="shared" si="116"/>
        <v>1638.2996250000001</v>
      </c>
      <c r="H599" s="137">
        <f t="shared" si="116"/>
        <v>1.3196833333333333</v>
      </c>
      <c r="I599" s="137">
        <f t="shared" si="116"/>
        <v>102.29816666666666</v>
      </c>
      <c r="J599" s="137">
        <f t="shared" si="116"/>
        <v>1.2378276666666665</v>
      </c>
      <c r="K599" s="137">
        <f t="shared" si="116"/>
        <v>6.6547499999999999</v>
      </c>
      <c r="L599" s="137">
        <f t="shared" si="116"/>
        <v>601.7897916666667</v>
      </c>
      <c r="M599" s="137">
        <f t="shared" si="116"/>
        <v>753.95904166666674</v>
      </c>
      <c r="N599" s="137">
        <f t="shared" si="116"/>
        <v>213.21747916666666</v>
      </c>
      <c r="O599" s="137">
        <f t="shared" si="116"/>
        <v>11.263124999999999</v>
      </c>
      <c r="P599" s="137">
        <f t="shared" si="116"/>
        <v>1.1953082291666668</v>
      </c>
      <c r="Q599" s="137">
        <f t="shared" si="116"/>
        <v>46.094979166666668</v>
      </c>
      <c r="R599" s="143"/>
      <c r="S599" s="143"/>
    </row>
  </sheetData>
  <autoFilter ref="A4:S580">
    <filterColumn colId="7" showButton="0"/>
    <filterColumn colId="8" showButton="0"/>
    <filterColumn colId="9" showButton="0"/>
    <filterColumn colId="11" showButton="0"/>
    <filterColumn colId="12" showButton="0"/>
    <filterColumn colId="13" showButton="0"/>
  </autoFilter>
  <mergeCells count="120">
    <mergeCell ref="B574:O574"/>
    <mergeCell ref="B575:O575"/>
    <mergeCell ref="A450:S450"/>
    <mergeCell ref="A485:S485"/>
    <mergeCell ref="A497:S497"/>
    <mergeCell ref="A502:S502"/>
    <mergeCell ref="A503:S503"/>
    <mergeCell ref="A509:S509"/>
    <mergeCell ref="A519:S519"/>
    <mergeCell ref="A524:S524"/>
    <mergeCell ref="A525:S525"/>
    <mergeCell ref="A534:S534"/>
    <mergeCell ref="A544:S544"/>
    <mergeCell ref="A549:S549"/>
    <mergeCell ref="A550:S550"/>
    <mergeCell ref="A567:S567"/>
    <mergeCell ref="A556:S556"/>
    <mergeCell ref="A456:S456"/>
    <mergeCell ref="A457:S457"/>
    <mergeCell ref="B464:S464"/>
    <mergeCell ref="A473:S473"/>
    <mergeCell ref="A478:S478"/>
    <mergeCell ref="A479:S479"/>
    <mergeCell ref="A320:S320"/>
    <mergeCell ref="A328:S328"/>
    <mergeCell ref="A336:S336"/>
    <mergeCell ref="A342:S342"/>
    <mergeCell ref="A343:S343"/>
    <mergeCell ref="A351:S351"/>
    <mergeCell ref="A361:S361"/>
    <mergeCell ref="A366:S366"/>
    <mergeCell ref="A367:S367"/>
    <mergeCell ref="A373:S373"/>
    <mergeCell ref="A381:S381"/>
    <mergeCell ref="A386:S386"/>
    <mergeCell ref="A387:S387"/>
    <mergeCell ref="A394:S394"/>
    <mergeCell ref="A404:S404"/>
    <mergeCell ref="A409:S409"/>
    <mergeCell ref="A410:S410"/>
    <mergeCell ref="B418:S418"/>
    <mergeCell ref="A426:S426"/>
    <mergeCell ref="A432:S432"/>
    <mergeCell ref="A433:S433"/>
    <mergeCell ref="A440:S440"/>
    <mergeCell ref="B84:S84"/>
    <mergeCell ref="O5:O7"/>
    <mergeCell ref="G4:G6"/>
    <mergeCell ref="H4:K4"/>
    <mergeCell ref="E4:E6"/>
    <mergeCell ref="F4:F6"/>
    <mergeCell ref="N5:N7"/>
    <mergeCell ref="J5:J7"/>
    <mergeCell ref="K5:K7"/>
    <mergeCell ref="L5:L7"/>
    <mergeCell ref="M5:M7"/>
    <mergeCell ref="A33:S33"/>
    <mergeCell ref="A32:S32"/>
    <mergeCell ref="B42:S42"/>
    <mergeCell ref="A53:S53"/>
    <mergeCell ref="A58:S58"/>
    <mergeCell ref="A59:S59"/>
    <mergeCell ref="B66:S66"/>
    <mergeCell ref="A75:S75"/>
    <mergeCell ref="A83:S83"/>
    <mergeCell ref="B2:O2"/>
    <mergeCell ref="A4:A7"/>
    <mergeCell ref="B4:B7"/>
    <mergeCell ref="C4:C6"/>
    <mergeCell ref="D4:D6"/>
    <mergeCell ref="A16:S16"/>
    <mergeCell ref="A27:S27"/>
    <mergeCell ref="A8:S8"/>
    <mergeCell ref="A9:S9"/>
    <mergeCell ref="P5:P7"/>
    <mergeCell ref="Q5:Q7"/>
    <mergeCell ref="L4:O4"/>
    <mergeCell ref="H5:H7"/>
    <mergeCell ref="I5:I7"/>
    <mergeCell ref="S4:S7"/>
    <mergeCell ref="R4:R7"/>
    <mergeCell ref="B115:S115"/>
    <mergeCell ref="B91:S91"/>
    <mergeCell ref="B102:S102"/>
    <mergeCell ref="B125:S125"/>
    <mergeCell ref="A130:S130"/>
    <mergeCell ref="B131:S131"/>
    <mergeCell ref="B139:S139"/>
    <mergeCell ref="B149:S149"/>
    <mergeCell ref="A156:S156"/>
    <mergeCell ref="B108:S108"/>
    <mergeCell ref="A107:S107"/>
    <mergeCell ref="A204:S204"/>
    <mergeCell ref="A211:S211"/>
    <mergeCell ref="A220:S220"/>
    <mergeCell ref="A225:S225"/>
    <mergeCell ref="B226:S226"/>
    <mergeCell ref="A235:S235"/>
    <mergeCell ref="A245:S245"/>
    <mergeCell ref="A250:S250"/>
    <mergeCell ref="A157:S157"/>
    <mergeCell ref="A164:S164"/>
    <mergeCell ref="A174:S174"/>
    <mergeCell ref="A179:S179"/>
    <mergeCell ref="A180:S180"/>
    <mergeCell ref="A188:S188"/>
    <mergeCell ref="A198:S198"/>
    <mergeCell ref="A203:S203"/>
    <mergeCell ref="A313:S313"/>
    <mergeCell ref="A319:S319"/>
    <mergeCell ref="A251:S251"/>
    <mergeCell ref="A258:S258"/>
    <mergeCell ref="B268:S268"/>
    <mergeCell ref="A273:S273"/>
    <mergeCell ref="A274:S274"/>
    <mergeCell ref="A280:S280"/>
    <mergeCell ref="A290:S290"/>
    <mergeCell ref="A297:S297"/>
    <mergeCell ref="A296:S296"/>
    <mergeCell ref="A304:S304"/>
  </mergeCells>
  <phoneticPr fontId="1" type="noConversion"/>
  <printOptions horizontalCentered="1"/>
  <pageMargins left="1.5748031496062993" right="0.39370078740157483" top="0.15748031496062992" bottom="0.15748031496062992" header="0.15748031496062992" footer="0.15748031496062992"/>
  <pageSetup paperSize="9" scale="37" fitToHeight="8" orientation="landscape" r:id="rId1"/>
  <headerFooter alignWithMargins="0"/>
  <rowBreaks count="5" manualBreakCount="5">
    <brk id="86" max="16383" man="1"/>
    <brk id="158" max="16383" man="1"/>
    <brk id="228" max="16383" man="1"/>
    <brk id="440" max="16383" man="1"/>
    <brk id="558" max="16383" man="1"/>
  </rowBreaks>
  <ignoredErrors>
    <ignoredError sqref="I515 I71 H467 I49 I169 I13 I22 I20 J18 J21 J70 J68 H99:I99 K99:O99 I121 I192 I194 J369 I446 I469 I538:I539 I5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topLeftCell="A31" workbookViewId="0">
      <selection activeCell="A2" sqref="A2:S53"/>
    </sheetView>
  </sheetViews>
  <sheetFormatPr defaultRowHeight="12.75" x14ac:dyDescent="0.2"/>
  <cols>
    <col min="1" max="1" width="9.140625" style="142"/>
    <col min="2" max="2" width="13.5703125" style="142" customWidth="1"/>
    <col min="3" max="3" width="8.5703125" style="203" customWidth="1"/>
    <col min="4" max="4" width="8.5703125" style="203" hidden="1" customWidth="1"/>
    <col min="5" max="5" width="8.140625" style="203" bestFit="1" customWidth="1"/>
    <col min="6" max="6" width="8.140625" style="203" hidden="1" customWidth="1"/>
    <col min="7" max="7" width="9.85546875" style="203" bestFit="1" customWidth="1"/>
    <col min="8" max="8" width="9.85546875" style="203" hidden="1" customWidth="1"/>
    <col min="9" max="9" width="9.140625" style="204" bestFit="1" customWidth="1"/>
    <col min="10" max="10" width="7.5703125" style="203" bestFit="1" customWidth="1"/>
    <col min="11" max="11" width="8.5703125" style="204" bestFit="1" customWidth="1"/>
    <col min="12" max="12" width="8.5703125" style="203" bestFit="1" customWidth="1"/>
    <col min="13" max="13" width="7.140625" style="203" bestFit="1" customWidth="1"/>
    <col min="14" max="14" width="8.140625" style="204" bestFit="1" customWidth="1"/>
    <col min="15" max="15" width="9.140625" style="204" bestFit="1" customWidth="1"/>
    <col min="16" max="16" width="8.140625" style="203" bestFit="1" customWidth="1"/>
    <col min="17" max="17" width="9.28515625" style="203" bestFit="1" customWidth="1"/>
    <col min="18" max="18" width="7.42578125" style="203" customWidth="1"/>
    <col min="19" max="19" width="7.28515625" style="203" customWidth="1"/>
  </cols>
  <sheetData>
    <row r="2" spans="1:19" ht="15" x14ac:dyDescent="0.25">
      <c r="A2" s="202" t="s">
        <v>84</v>
      </c>
    </row>
    <row r="3" spans="1:19" ht="15" x14ac:dyDescent="0.25">
      <c r="A3" s="206" t="s">
        <v>85</v>
      </c>
      <c r="B3" s="206" t="s">
        <v>86</v>
      </c>
      <c r="C3" s="207" t="s">
        <v>87</v>
      </c>
      <c r="D3" s="207"/>
      <c r="E3" s="207" t="s">
        <v>88</v>
      </c>
      <c r="F3" s="207"/>
      <c r="G3" s="207" t="s">
        <v>89</v>
      </c>
      <c r="H3" s="207"/>
      <c r="I3" s="208" t="s">
        <v>9</v>
      </c>
      <c r="J3" s="207" t="s">
        <v>90</v>
      </c>
      <c r="K3" s="208" t="s">
        <v>24</v>
      </c>
      <c r="L3" s="207" t="s">
        <v>25</v>
      </c>
      <c r="M3" s="207" t="s">
        <v>91</v>
      </c>
      <c r="N3" s="208" t="s">
        <v>27</v>
      </c>
      <c r="O3" s="208" t="s">
        <v>92</v>
      </c>
      <c r="P3" s="207" t="s">
        <v>29</v>
      </c>
      <c r="Q3" s="207" t="s">
        <v>30</v>
      </c>
      <c r="R3" s="207" t="s">
        <v>105</v>
      </c>
      <c r="S3" s="207" t="s">
        <v>107</v>
      </c>
    </row>
    <row r="4" spans="1:19" x14ac:dyDescent="0.2">
      <c r="A4" s="211" t="s">
        <v>93</v>
      </c>
      <c r="B4" s="211">
        <v>1</v>
      </c>
      <c r="C4" s="212">
        <f>'Комплекс 1 '!D30</f>
        <v>64.498999999999995</v>
      </c>
      <c r="D4" s="212" t="e">
        <f>'Комплекс 1 '!#REF!</f>
        <v>#REF!</v>
      </c>
      <c r="E4" s="212">
        <f>'Комплекс 1 '!E30</f>
        <v>50.677000000000007</v>
      </c>
      <c r="F4" s="212" t="e">
        <f>'Комплекс 1 '!#REF!</f>
        <v>#REF!</v>
      </c>
      <c r="G4" s="212">
        <f>'Комплекс 1 '!F30</f>
        <v>260.529</v>
      </c>
      <c r="H4" s="212" t="e">
        <f>'Комплекс 1 '!#REF!</f>
        <v>#REF!</v>
      </c>
      <c r="I4" s="212">
        <f>'Комплекс 1 '!G30</f>
        <v>1752.8419999999999</v>
      </c>
      <c r="J4" s="212">
        <f>'Комплекс 1 '!H30</f>
        <v>1.6870000000000003</v>
      </c>
      <c r="K4" s="212">
        <f>'Комплекс 1 '!I30</f>
        <v>61.29</v>
      </c>
      <c r="L4" s="212">
        <f>'Комплекс 1 '!J30</f>
        <v>0.26671600000000006</v>
      </c>
      <c r="M4" s="212">
        <f>'Комплекс 1 '!K30</f>
        <v>4.2309999999999999</v>
      </c>
      <c r="N4" s="212">
        <f>'Комплекс 1 '!L30</f>
        <v>752.86200000000008</v>
      </c>
      <c r="O4" s="212">
        <f>'Комплекс 1 '!M30</f>
        <v>905.46500000000003</v>
      </c>
      <c r="P4" s="212">
        <f>'Комплекс 1 '!N30</f>
        <v>212.86250000000001</v>
      </c>
      <c r="Q4" s="212">
        <f>'Комплекс 1 '!O30</f>
        <v>14.756</v>
      </c>
      <c r="R4" s="212">
        <f>'Комплекс 1 '!P30</f>
        <v>0.97399750000000007</v>
      </c>
      <c r="S4" s="212">
        <f>'Комплекс 1 '!Q30</f>
        <v>45.926000000000002</v>
      </c>
    </row>
    <row r="5" spans="1:19" x14ac:dyDescent="0.2">
      <c r="A5" s="211"/>
      <c r="B5" s="211">
        <v>2</v>
      </c>
      <c r="C5" s="77">
        <f>'Комплекс 1 '!D53</f>
        <v>52.68</v>
      </c>
      <c r="D5" s="77" t="e">
        <f>'Комплекс 1 '!#REF!</f>
        <v>#REF!</v>
      </c>
      <c r="E5" s="77">
        <f>'Комплекс 1 '!E53</f>
        <v>62.012999999999998</v>
      </c>
      <c r="F5" s="77" t="e">
        <f>'Комплекс 1 '!#REF!</f>
        <v>#REF!</v>
      </c>
      <c r="G5" s="77">
        <f>'Комплекс 1 '!F53</f>
        <v>204.845</v>
      </c>
      <c r="H5" s="77" t="e">
        <f>'Комплекс 1 '!#REF!</f>
        <v>#REF!</v>
      </c>
      <c r="I5" s="77">
        <f>'Комплекс 1 '!G53</f>
        <v>1596.8579999999999</v>
      </c>
      <c r="J5" s="77">
        <f>'Комплекс 1 '!H53</f>
        <v>0.96199999999999997</v>
      </c>
      <c r="K5" s="77">
        <f>'Комплекс 1 '!I53</f>
        <v>68.572999999999993</v>
      </c>
      <c r="L5" s="77">
        <f>'Комплекс 1 '!J53</f>
        <v>0.26900000000000002</v>
      </c>
      <c r="M5" s="77">
        <f>'Комплекс 1 '!K53</f>
        <v>4.157</v>
      </c>
      <c r="N5" s="77">
        <f>'Комплекс 1 '!L53</f>
        <v>475.08900000000006</v>
      </c>
      <c r="O5" s="77">
        <f>'Комплекс 1 '!M53</f>
        <v>667.62299999999993</v>
      </c>
      <c r="P5" s="77">
        <f>'Комплекс 1 '!N53</f>
        <v>151.05500000000001</v>
      </c>
      <c r="Q5" s="77">
        <f>'Комплекс 1 '!O53</f>
        <v>8.4488000000000003</v>
      </c>
      <c r="R5" s="77">
        <f>'Комплекс 1 '!P53</f>
        <v>1.0070000000000001</v>
      </c>
      <c r="S5" s="77">
        <f>'Комплекс 1 '!Q53</f>
        <v>21.514999999999997</v>
      </c>
    </row>
    <row r="6" spans="1:19" x14ac:dyDescent="0.2">
      <c r="A6" s="211"/>
      <c r="B6" s="211">
        <v>3</v>
      </c>
      <c r="C6" s="77">
        <f>'Комплекс 1 '!D79</f>
        <v>53.910500000000006</v>
      </c>
      <c r="D6" s="77" t="e">
        <f>'Комплекс 1 '!#REF!</f>
        <v>#REF!</v>
      </c>
      <c r="E6" s="77">
        <f>'Комплекс 1 '!E79</f>
        <v>68.4375</v>
      </c>
      <c r="F6" s="77" t="e">
        <f>'Комплекс 1 '!#REF!</f>
        <v>#REF!</v>
      </c>
      <c r="G6" s="77">
        <f>'Комплекс 1 '!F79</f>
        <v>217.58</v>
      </c>
      <c r="H6" s="77" t="e">
        <f>'Комплекс 1 '!#REF!</f>
        <v>#REF!</v>
      </c>
      <c r="I6" s="77">
        <f>'Комплекс 1 '!G79</f>
        <v>1703.65</v>
      </c>
      <c r="J6" s="77">
        <f>'Комплекс 1 '!H79</f>
        <v>1.7140000000000002</v>
      </c>
      <c r="K6" s="77">
        <f>'Комплекс 1 '!I79</f>
        <v>30.266999999999999</v>
      </c>
      <c r="L6" s="77">
        <f>'Комплекс 1 '!J79</f>
        <v>0.34300000000000003</v>
      </c>
      <c r="M6" s="77">
        <f>'Комплекс 1 '!K79</f>
        <v>9.2140000000000004</v>
      </c>
      <c r="N6" s="77">
        <f>'Комплекс 1 '!L79</f>
        <v>648.10699999999997</v>
      </c>
      <c r="O6" s="77">
        <f>'Комплекс 1 '!M79</f>
        <v>958.81100000000004</v>
      </c>
      <c r="P6" s="77">
        <f>'Комплекс 1 '!N79</f>
        <v>282.76199999999994</v>
      </c>
      <c r="Q6" s="77">
        <f>'Комплекс 1 '!O79</f>
        <v>20.881000000000004</v>
      </c>
      <c r="R6" s="77">
        <f>'Комплекс 1 '!P79</f>
        <v>1.6395</v>
      </c>
      <c r="S6" s="77">
        <f>'Комплекс 1 '!Q79</f>
        <v>56.629999999999995</v>
      </c>
    </row>
    <row r="7" spans="1:19" x14ac:dyDescent="0.2">
      <c r="A7" s="211"/>
      <c r="B7" s="211">
        <v>4</v>
      </c>
      <c r="C7" s="77">
        <f>'Комплекс 1 '!D102</f>
        <v>46.341999999999999</v>
      </c>
      <c r="D7" s="77" t="e">
        <f>'Комплекс 1 '!#REF!</f>
        <v>#REF!</v>
      </c>
      <c r="E7" s="77">
        <f>'Комплекс 1 '!E102</f>
        <v>50.823499999999996</v>
      </c>
      <c r="F7" s="77" t="e">
        <f>'Комплекс 1 '!#REF!</f>
        <v>#REF!</v>
      </c>
      <c r="G7" s="77">
        <f>'Комплекс 1 '!F102</f>
        <v>249.251</v>
      </c>
      <c r="H7" s="77" t="e">
        <f>'Комплекс 1 '!#REF!</f>
        <v>#REF!</v>
      </c>
      <c r="I7" s="77">
        <f>'Комплекс 1 '!G102</f>
        <v>1618.2239999999999</v>
      </c>
      <c r="J7" s="77">
        <f>'Комплекс 1 '!H102</f>
        <v>1.3830000000000002</v>
      </c>
      <c r="K7" s="77">
        <f>'Комплекс 1 '!I102</f>
        <v>182.65100000000001</v>
      </c>
      <c r="L7" s="77">
        <f>'Комплекс 1 '!J102</f>
        <v>2.2349999999999999</v>
      </c>
      <c r="M7" s="77">
        <f>'Комплекс 1 '!K102</f>
        <v>7.7110000000000003</v>
      </c>
      <c r="N7" s="77">
        <f>'Комплекс 1 '!L102</f>
        <v>429.459</v>
      </c>
      <c r="O7" s="77">
        <f>'Комплекс 1 '!M102</f>
        <v>805.00599999999997</v>
      </c>
      <c r="P7" s="77">
        <f>'Комплекс 1 '!N102</f>
        <v>383.12700000000001</v>
      </c>
      <c r="Q7" s="77">
        <f>'Комплекс 1 '!O102</f>
        <v>14.547200000000002</v>
      </c>
      <c r="R7" s="77">
        <f>'Комплекс 1 '!P102</f>
        <v>0.86750000000000016</v>
      </c>
      <c r="S7" s="77">
        <f>'Комплекс 1 '!Q102</f>
        <v>61.460000000000008</v>
      </c>
    </row>
    <row r="8" spans="1:19" x14ac:dyDescent="0.2">
      <c r="A8" s="211"/>
      <c r="B8" s="211">
        <v>5</v>
      </c>
      <c r="C8" s="77">
        <f>'Комплекс 1 '!D125</f>
        <v>50.300000000000004</v>
      </c>
      <c r="D8" s="77" t="e">
        <f>'Комплекс 1 '!#REF!</f>
        <v>#REF!</v>
      </c>
      <c r="E8" s="77">
        <f>'Комплекс 1 '!E125</f>
        <v>58.771000000000001</v>
      </c>
      <c r="F8" s="77" t="e">
        <f>'Комплекс 1 '!#REF!</f>
        <v>#REF!</v>
      </c>
      <c r="G8" s="77">
        <f>'Комплекс 1 '!F125</f>
        <v>245.648</v>
      </c>
      <c r="H8" s="77" t="e">
        <f>'Комплекс 1 '!#REF!</f>
        <v>#REF!</v>
      </c>
      <c r="I8" s="77">
        <f>'Комплекс 1 '!G125</f>
        <v>1708.2159999999997</v>
      </c>
      <c r="J8" s="77">
        <f>'Комплекс 1 '!H125</f>
        <v>1.2323999999999999</v>
      </c>
      <c r="K8" s="77">
        <f>'Комплекс 1 '!I125</f>
        <v>66.664000000000001</v>
      </c>
      <c r="L8" s="77">
        <f>'Комплекс 1 '!J125</f>
        <v>0.92800000000000005</v>
      </c>
      <c r="M8" s="77">
        <f>'Комплекс 1 '!K125</f>
        <v>5.3659999999999997</v>
      </c>
      <c r="N8" s="77">
        <f>'Комплекс 1 '!L125</f>
        <v>449.49300000000005</v>
      </c>
      <c r="O8" s="77">
        <f>'Комплекс 1 '!M125</f>
        <v>386.16899999999998</v>
      </c>
      <c r="P8" s="77">
        <f>'Комплекс 1 '!N125</f>
        <v>144.25800000000001</v>
      </c>
      <c r="Q8" s="77">
        <f>'Комплекс 1 '!O125</f>
        <v>8.2889999999999997</v>
      </c>
      <c r="R8" s="77">
        <f>'Комплекс 1 '!P125</f>
        <v>0.81420000000000003</v>
      </c>
      <c r="S8" s="77">
        <f>'Комплекс 1 '!Q125</f>
        <v>29.33</v>
      </c>
    </row>
    <row r="9" spans="1:19" x14ac:dyDescent="0.2">
      <c r="A9" s="211"/>
      <c r="B9" s="211">
        <v>6</v>
      </c>
      <c r="C9" s="77">
        <f>'Комплекс 1 '!D152</f>
        <v>80.245499999999993</v>
      </c>
      <c r="D9" s="77" t="e">
        <f>'Комплекс 1 '!#REF!</f>
        <v>#REF!</v>
      </c>
      <c r="E9" s="77">
        <f>'Комплекс 1 '!E152</f>
        <v>63.857500000000002</v>
      </c>
      <c r="F9" s="77" t="e">
        <f>'Комплекс 1 '!#REF!</f>
        <v>#REF!</v>
      </c>
      <c r="G9" s="77">
        <f>'Комплекс 1 '!F152</f>
        <v>186.02399999999997</v>
      </c>
      <c r="H9" s="77" t="e">
        <f>'Комплекс 1 '!#REF!</f>
        <v>#REF!</v>
      </c>
      <c r="I9" s="77">
        <f>'Комплекс 1 '!G152</f>
        <v>1571.2719999999999</v>
      </c>
      <c r="J9" s="77">
        <f>'Комплекс 1 '!H152</f>
        <v>1.274</v>
      </c>
      <c r="K9" s="77">
        <f>'Комплекс 1 '!I152</f>
        <v>292.30100000000004</v>
      </c>
      <c r="L9" s="77">
        <f>'Комплекс 1 '!J152</f>
        <v>0.41671599999999998</v>
      </c>
      <c r="M9" s="77">
        <f>'Комплекс 1 '!K152</f>
        <v>3.7339999999999995</v>
      </c>
      <c r="N9" s="77">
        <f>'Комплекс 1 '!L152</f>
        <v>686.11799999999994</v>
      </c>
      <c r="O9" s="77">
        <f>'Комплекс 1 '!M152</f>
        <v>801.94299999999998</v>
      </c>
      <c r="P9" s="77">
        <f>'Комплекс 1 '!N152</f>
        <v>207.1</v>
      </c>
      <c r="Q9" s="77">
        <f>'Комплекс 1 '!O152</f>
        <v>10.572000000000001</v>
      </c>
      <c r="R9" s="77">
        <f>'Комплекс 1 '!P152</f>
        <v>1.377</v>
      </c>
      <c r="S9" s="77">
        <f>'Комплекс 1 '!Q152</f>
        <v>27.79</v>
      </c>
    </row>
    <row r="10" spans="1:19" x14ac:dyDescent="0.2">
      <c r="A10" s="211" t="s">
        <v>94</v>
      </c>
      <c r="B10" s="211"/>
      <c r="C10" s="77">
        <f>SUM(C4:C9)</f>
        <v>347.97700000000003</v>
      </c>
      <c r="D10" s="77"/>
      <c r="E10" s="77">
        <f t="shared" ref="E10:S10" si="0">SUM(E4:E9)</f>
        <v>354.5795</v>
      </c>
      <c r="F10" s="77"/>
      <c r="G10" s="77">
        <f t="shared" si="0"/>
        <v>1363.877</v>
      </c>
      <c r="H10" s="77"/>
      <c r="I10" s="213">
        <f t="shared" si="0"/>
        <v>9951.0620000000017</v>
      </c>
      <c r="J10" s="77">
        <f t="shared" si="0"/>
        <v>8.2524000000000015</v>
      </c>
      <c r="K10" s="213">
        <f t="shared" si="0"/>
        <v>701.74600000000009</v>
      </c>
      <c r="L10" s="77">
        <f t="shared" si="0"/>
        <v>4.4584320000000002</v>
      </c>
      <c r="M10" s="77">
        <f t="shared" si="0"/>
        <v>34.413000000000004</v>
      </c>
      <c r="N10" s="213">
        <f t="shared" si="0"/>
        <v>3441.1279999999997</v>
      </c>
      <c r="O10" s="213">
        <f t="shared" si="0"/>
        <v>4525.0169999999998</v>
      </c>
      <c r="P10" s="77">
        <f t="shared" si="0"/>
        <v>1381.1644999999999</v>
      </c>
      <c r="Q10" s="77">
        <f t="shared" si="0"/>
        <v>77.494000000000014</v>
      </c>
      <c r="R10" s="77">
        <f t="shared" si="0"/>
        <v>6.6791974999999999</v>
      </c>
      <c r="S10" s="77">
        <f t="shared" si="0"/>
        <v>242.65099999999998</v>
      </c>
    </row>
    <row r="11" spans="1:19" ht="15" x14ac:dyDescent="0.25">
      <c r="A11" s="211" t="s">
        <v>95</v>
      </c>
      <c r="B11" s="211"/>
      <c r="C11" s="75">
        <f>C10/6</f>
        <v>57.996166666666674</v>
      </c>
      <c r="D11" s="75"/>
      <c r="E11" s="77">
        <f t="shared" ref="E11:S11" si="1">E10/6</f>
        <v>59.096583333333335</v>
      </c>
      <c r="F11" s="77"/>
      <c r="G11" s="75">
        <f t="shared" si="1"/>
        <v>227.31283333333332</v>
      </c>
      <c r="H11" s="75"/>
      <c r="I11" s="76">
        <f t="shared" si="1"/>
        <v>1658.5103333333336</v>
      </c>
      <c r="J11" s="77">
        <f t="shared" si="1"/>
        <v>1.3754000000000002</v>
      </c>
      <c r="K11" s="213">
        <f t="shared" si="1"/>
        <v>116.95766666666668</v>
      </c>
      <c r="L11" s="75">
        <f t="shared" si="1"/>
        <v>0.74307200000000007</v>
      </c>
      <c r="M11" s="75">
        <f t="shared" si="1"/>
        <v>5.7355000000000009</v>
      </c>
      <c r="N11" s="76">
        <f t="shared" si="1"/>
        <v>573.52133333333325</v>
      </c>
      <c r="O11" s="76">
        <f t="shared" si="1"/>
        <v>754.16949999999997</v>
      </c>
      <c r="P11" s="75">
        <f t="shared" si="1"/>
        <v>230.19408333333331</v>
      </c>
      <c r="Q11" s="75">
        <f t="shared" si="1"/>
        <v>12.915666666666668</v>
      </c>
      <c r="R11" s="75">
        <f t="shared" si="1"/>
        <v>1.1131995833333332</v>
      </c>
      <c r="S11" s="75">
        <f t="shared" si="1"/>
        <v>40.441833333333328</v>
      </c>
    </row>
    <row r="12" spans="1:19" x14ac:dyDescent="0.2">
      <c r="A12" s="211" t="s">
        <v>96</v>
      </c>
      <c r="B12" s="211"/>
      <c r="C12" s="77">
        <f>90*70/100</f>
        <v>63</v>
      </c>
      <c r="D12" s="77"/>
      <c r="E12" s="77">
        <f>92*70/100</f>
        <v>64.400000000000006</v>
      </c>
      <c r="F12" s="77"/>
      <c r="G12" s="77">
        <f>383*70/100</f>
        <v>268.10000000000002</v>
      </c>
      <c r="H12" s="77"/>
      <c r="I12" s="213">
        <f>2713*70/100</f>
        <v>1899.1</v>
      </c>
      <c r="J12" s="77">
        <f>1.4*70/100</f>
        <v>0.98</v>
      </c>
      <c r="K12" s="213">
        <f>70*70/100</f>
        <v>49</v>
      </c>
      <c r="L12" s="77">
        <f>0.9*70/100</f>
        <v>0.63</v>
      </c>
      <c r="M12" s="77">
        <f>12*70/100</f>
        <v>8.4</v>
      </c>
      <c r="N12" s="213">
        <f>1200*70/100</f>
        <v>840</v>
      </c>
      <c r="O12" s="213">
        <f>1800*70/100</f>
        <v>1260</v>
      </c>
      <c r="P12" s="77">
        <f>300*70/100</f>
        <v>210</v>
      </c>
      <c r="Q12" s="77">
        <f>17*70/100</f>
        <v>11.9</v>
      </c>
      <c r="R12" s="212">
        <f>1.6*70/100</f>
        <v>1.1200000000000001</v>
      </c>
      <c r="S12" s="212">
        <f>120*70/100</f>
        <v>84</v>
      </c>
    </row>
    <row r="13" spans="1:19" x14ac:dyDescent="0.2">
      <c r="A13" s="211" t="s">
        <v>97</v>
      </c>
      <c r="B13" s="211"/>
      <c r="C13" s="77">
        <f>90*60/100</f>
        <v>54</v>
      </c>
      <c r="D13" s="77"/>
      <c r="E13" s="77">
        <f>92*60/100</f>
        <v>55.2</v>
      </c>
      <c r="F13" s="77"/>
      <c r="G13" s="77">
        <f>383*60/100</f>
        <v>229.8</v>
      </c>
      <c r="H13" s="77"/>
      <c r="I13" s="213">
        <f>2713*60/100</f>
        <v>1627.8</v>
      </c>
      <c r="J13" s="77">
        <f>1.4*60/100</f>
        <v>0.84</v>
      </c>
      <c r="K13" s="213">
        <f>70*60/100</f>
        <v>42</v>
      </c>
      <c r="L13" s="77">
        <f>0.9*60/100</f>
        <v>0.54</v>
      </c>
      <c r="M13" s="77">
        <f>12*60/100</f>
        <v>7.2</v>
      </c>
      <c r="N13" s="213">
        <f>1200*60/100</f>
        <v>720</v>
      </c>
      <c r="O13" s="213">
        <f>1800*60/100</f>
        <v>1080</v>
      </c>
      <c r="P13" s="77">
        <f>300*60/100</f>
        <v>180</v>
      </c>
      <c r="Q13" s="77">
        <f>17*60/100</f>
        <v>10.199999999999999</v>
      </c>
      <c r="R13" s="212">
        <f>1.6*60/100</f>
        <v>0.96</v>
      </c>
      <c r="S13" s="212">
        <f>120*60/100</f>
        <v>72</v>
      </c>
    </row>
    <row r="14" spans="1:19" ht="15" x14ac:dyDescent="0.25">
      <c r="A14" s="211" t="s">
        <v>98</v>
      </c>
      <c r="B14" s="211"/>
      <c r="C14" s="77">
        <f>C11/C11</f>
        <v>1</v>
      </c>
      <c r="D14" s="77"/>
      <c r="E14" s="77">
        <f>E11/C11</f>
        <v>1.0189739551751982</v>
      </c>
      <c r="F14" s="77"/>
      <c r="G14" s="77">
        <f>G11/C11</f>
        <v>3.9194458254424851</v>
      </c>
      <c r="H14" s="77"/>
      <c r="I14" s="213"/>
      <c r="J14" s="77"/>
      <c r="K14" s="213"/>
      <c r="L14" s="77"/>
      <c r="M14" s="77"/>
      <c r="N14" s="213">
        <f>N11/N11</f>
        <v>1</v>
      </c>
      <c r="O14" s="76">
        <f>O11/N11</f>
        <v>1.3149807272499019</v>
      </c>
      <c r="P14" s="77"/>
      <c r="Q14" s="77"/>
    </row>
    <row r="15" spans="1:19" x14ac:dyDescent="0.2">
      <c r="A15" s="211" t="s">
        <v>99</v>
      </c>
      <c r="B15" s="211">
        <v>7</v>
      </c>
      <c r="C15" s="212">
        <f>'Комплекс 1 '!D177</f>
        <v>49.904000000000003</v>
      </c>
      <c r="D15" s="212" t="e">
        <f>'Комплекс 1 '!#REF!</f>
        <v>#REF!</v>
      </c>
      <c r="E15" s="212">
        <f>'Комплекс 1 '!E177</f>
        <v>54.739999999999995</v>
      </c>
      <c r="F15" s="212" t="e">
        <f>'Комплекс 1 '!#REF!</f>
        <v>#REF!</v>
      </c>
      <c r="G15" s="212">
        <f>'Комплекс 1 '!F177</f>
        <v>244.27199999999999</v>
      </c>
      <c r="H15" s="212" t="e">
        <f>'Комплекс 1 '!#REF!</f>
        <v>#REF!</v>
      </c>
      <c r="I15" s="212">
        <f>'Комплекс 1 '!G177</f>
        <v>1693.2440000000001</v>
      </c>
      <c r="J15" s="212">
        <f>'Комплекс 1 '!H177</f>
        <v>1.0820000000000001</v>
      </c>
      <c r="K15" s="212">
        <f>'Комплекс 1 '!I177</f>
        <v>111.64400000000001</v>
      </c>
      <c r="L15" s="212">
        <f>'Комплекс 1 '!J177</f>
        <v>1.5947159999999998</v>
      </c>
      <c r="M15" s="212">
        <f>'Комплекс 1 '!K177</f>
        <v>14.996</v>
      </c>
      <c r="N15" s="212">
        <f>'Комплекс 1 '!L177</f>
        <v>517.18899999999996</v>
      </c>
      <c r="O15" s="212">
        <f>'Комплекс 1 '!M177</f>
        <v>614.91</v>
      </c>
      <c r="P15" s="212">
        <f>'Комплекс 1 '!N177</f>
        <v>188.43300000000005</v>
      </c>
      <c r="Q15" s="212">
        <f>'Комплекс 1 '!O177</f>
        <v>8.5082000000000004</v>
      </c>
      <c r="R15" s="212">
        <f>'Комплекс 1 '!P177</f>
        <v>0.65500000000000003</v>
      </c>
      <c r="S15" s="212">
        <f>'Комплекс 1 '!Q177</f>
        <v>40.58</v>
      </c>
    </row>
    <row r="16" spans="1:19" x14ac:dyDescent="0.2">
      <c r="A16" s="211"/>
      <c r="B16" s="211">
        <v>8</v>
      </c>
      <c r="C16" s="77">
        <f>'Комплекс 1 '!D200</f>
        <v>56.880499999999998</v>
      </c>
      <c r="D16" s="77" t="e">
        <f>'Комплекс 1 '!#REF!</f>
        <v>#REF!</v>
      </c>
      <c r="E16" s="77">
        <f>'Комплекс 1 '!E200</f>
        <v>54.442499999999995</v>
      </c>
      <c r="F16" s="77" t="e">
        <f>'Комплекс 1 '!#REF!</f>
        <v>#REF!</v>
      </c>
      <c r="G16" s="77">
        <f>'Комплекс 1 '!F200</f>
        <v>195.09399999999999</v>
      </c>
      <c r="H16" s="77" t="e">
        <f>'Комплекс 1 '!#REF!</f>
        <v>#REF!</v>
      </c>
      <c r="I16" s="77">
        <f>'Комплекс 1 '!G200</f>
        <v>1538.2230000000002</v>
      </c>
      <c r="J16" s="77">
        <f>'Комплекс 1 '!H200</f>
        <v>1.0870000000000002</v>
      </c>
      <c r="K16" s="77">
        <f>'Комплекс 1 '!I200</f>
        <v>97.438999999999993</v>
      </c>
      <c r="L16" s="77">
        <f>'Комплекс 1 '!J200</f>
        <v>1.07</v>
      </c>
      <c r="M16" s="77">
        <f>'Комплекс 1 '!K200</f>
        <v>6.617</v>
      </c>
      <c r="N16" s="77">
        <f>'Комплекс 1 '!L200</f>
        <v>345.19600000000003</v>
      </c>
      <c r="O16" s="77">
        <f>'Комплекс 1 '!M200</f>
        <v>606.38400000000001</v>
      </c>
      <c r="P16" s="77">
        <f>'Комплекс 1 '!N200</f>
        <v>142.37100000000001</v>
      </c>
      <c r="Q16" s="77">
        <f>'Комплекс 1 '!O200</f>
        <v>7.548</v>
      </c>
      <c r="R16" s="77">
        <f>'Комплекс 1 '!P200</f>
        <v>0.63400000000000001</v>
      </c>
      <c r="S16" s="77">
        <f>'Комплекс 1 '!Q200</f>
        <v>23.93</v>
      </c>
    </row>
    <row r="17" spans="1:19" x14ac:dyDescent="0.2">
      <c r="A17" s="211"/>
      <c r="B17" s="211">
        <v>9</v>
      </c>
      <c r="C17" s="77">
        <f>'Комплекс 1 '!D222</f>
        <v>60.9955</v>
      </c>
      <c r="D17" s="77" t="e">
        <f>'Комплекс 1 '!#REF!</f>
        <v>#REF!</v>
      </c>
      <c r="E17" s="77">
        <f>'Комплекс 1 '!E222</f>
        <v>53.022499999999994</v>
      </c>
      <c r="F17" s="77" t="e">
        <f>'Комплекс 1 '!#REF!</f>
        <v>#REF!</v>
      </c>
      <c r="G17" s="77">
        <f>'Комплекс 1 '!F222</f>
        <v>228.875</v>
      </c>
      <c r="H17" s="77" t="e">
        <f>'Комплекс 1 '!#REF!</f>
        <v>#REF!</v>
      </c>
      <c r="I17" s="77">
        <f>'Комплекс 1 '!G222</f>
        <v>1614.7420000000002</v>
      </c>
      <c r="J17" s="77">
        <f>'Комплекс 1 '!H222</f>
        <v>1.1870000000000001</v>
      </c>
      <c r="K17" s="77">
        <f>'Комплекс 1 '!I222</f>
        <v>60.015999999999998</v>
      </c>
      <c r="L17" s="77">
        <f>'Комплекс 1 '!J222</f>
        <v>2.5410000000000004</v>
      </c>
      <c r="M17" s="77">
        <f>'Комплекс 1 '!K222</f>
        <v>6.3789999999999987</v>
      </c>
      <c r="N17" s="77">
        <f>'Комплекс 1 '!L222</f>
        <v>663.42700000000002</v>
      </c>
      <c r="O17" s="77">
        <f>'Комплекс 1 '!M222</f>
        <v>652.01599999999996</v>
      </c>
      <c r="P17" s="77">
        <f>'Комплекс 1 '!N222</f>
        <v>166.773</v>
      </c>
      <c r="Q17" s="77">
        <f>'Комплекс 1 '!O222</f>
        <v>7.2169999999999996</v>
      </c>
      <c r="R17" s="77">
        <f>'Комплекс 1 '!P222</f>
        <v>0.84750000000000003</v>
      </c>
      <c r="S17" s="77">
        <f>'Комплекс 1 '!Q222</f>
        <v>28.56</v>
      </c>
    </row>
    <row r="18" spans="1:19" x14ac:dyDescent="0.2">
      <c r="A18" s="211"/>
      <c r="B18" s="211">
        <v>10</v>
      </c>
      <c r="C18" s="77">
        <f>'Комплекс 1 '!D246</f>
        <v>69.021000000000001</v>
      </c>
      <c r="D18" s="77" t="e">
        <f>'Комплекс 1 '!#REF!</f>
        <v>#REF!</v>
      </c>
      <c r="E18" s="77">
        <f>'Комплекс 1 '!E246</f>
        <v>62.36</v>
      </c>
      <c r="F18" s="77" t="e">
        <f>'Комплекс 1 '!#REF!</f>
        <v>#REF!</v>
      </c>
      <c r="G18" s="77">
        <f>'Комплекс 1 '!F246</f>
        <v>197.32399999999998</v>
      </c>
      <c r="H18" s="77" t="e">
        <f>'Комплекс 1 '!#REF!</f>
        <v>#REF!</v>
      </c>
      <c r="I18" s="77">
        <f>'Комплекс 1 '!G246</f>
        <v>1625.6659999999997</v>
      </c>
      <c r="J18" s="77">
        <f>'Комплекс 1 '!H246</f>
        <v>1.1220000000000001</v>
      </c>
      <c r="K18" s="77">
        <f>'Комплекс 1 '!I246</f>
        <v>89.884999999999991</v>
      </c>
      <c r="L18" s="77">
        <f>'Комплекс 1 '!J246</f>
        <v>0.38500000000000001</v>
      </c>
      <c r="M18" s="77">
        <f>'Комплекс 1 '!K246</f>
        <v>8.463000000000001</v>
      </c>
      <c r="N18" s="77">
        <f>'Комплекс 1 '!L246</f>
        <v>567.51600000000008</v>
      </c>
      <c r="O18" s="77">
        <f>'Комплекс 1 '!M246</f>
        <v>849.02200000000005</v>
      </c>
      <c r="P18" s="77">
        <f>'Комплекс 1 '!N246</f>
        <v>246.76499999999999</v>
      </c>
      <c r="Q18" s="77">
        <f>'Комплекс 1 '!O246</f>
        <v>13.011000000000001</v>
      </c>
      <c r="R18" s="77">
        <f>'Комплекс 1 '!P246</f>
        <v>1.1949999999999998</v>
      </c>
      <c r="S18" s="77">
        <f>'Комплекс 1 '!Q246</f>
        <v>23.375000000000004</v>
      </c>
    </row>
    <row r="19" spans="1:19" x14ac:dyDescent="0.2">
      <c r="A19" s="211"/>
      <c r="B19" s="211">
        <v>11</v>
      </c>
      <c r="C19" s="212">
        <f>'Комплекс 1 '!D269</f>
        <v>56.451500000000003</v>
      </c>
      <c r="D19" s="212" t="e">
        <f>'Комплекс 1 '!#REF!</f>
        <v>#REF!</v>
      </c>
      <c r="E19" s="212">
        <f>'Комплекс 1 '!E269</f>
        <v>60.9375</v>
      </c>
      <c r="F19" s="212" t="e">
        <f>'Комплекс 1 '!#REF!</f>
        <v>#REF!</v>
      </c>
      <c r="G19" s="212">
        <f>'Комплекс 1 '!F269</f>
        <v>247.47799999999998</v>
      </c>
      <c r="H19" s="212" t="e">
        <f>'Комплекс 1 '!#REF!</f>
        <v>#REF!</v>
      </c>
      <c r="I19" s="212">
        <f>'Комплекс 1 '!G269</f>
        <v>1748.3939999999998</v>
      </c>
      <c r="J19" s="212">
        <f>'Комплекс 1 '!H269</f>
        <v>1.1120000000000001</v>
      </c>
      <c r="K19" s="212">
        <f>'Комплекс 1 '!I269</f>
        <v>91.537999999999997</v>
      </c>
      <c r="L19" s="212">
        <f>'Комплекс 1 '!J269</f>
        <v>0.24200000000000002</v>
      </c>
      <c r="M19" s="212">
        <f>'Комплекс 1 '!K269</f>
        <v>8.6979999999999986</v>
      </c>
      <c r="N19" s="212">
        <f>'Комплекс 1 '!L269</f>
        <v>786.99900000000002</v>
      </c>
      <c r="O19" s="212">
        <f>'Комплекс 1 '!M269</f>
        <v>971.54499999999996</v>
      </c>
      <c r="P19" s="212">
        <f>'Комплекс 1 '!N269</f>
        <v>369.36700000000002</v>
      </c>
      <c r="Q19" s="212">
        <f>'Комплекс 1 '!O269</f>
        <v>9.132200000000001</v>
      </c>
      <c r="R19" s="212">
        <f>'Комплекс 1 '!P269</f>
        <v>1.165</v>
      </c>
      <c r="S19" s="212">
        <f>'Комплекс 1 '!Q269</f>
        <v>35.9</v>
      </c>
    </row>
    <row r="20" spans="1:19" x14ac:dyDescent="0.2">
      <c r="A20" s="211"/>
      <c r="B20" s="211">
        <v>12</v>
      </c>
      <c r="C20" s="77">
        <f>'Комплекс 1 '!D291</f>
        <v>62.548000000000009</v>
      </c>
      <c r="D20" s="77" t="e">
        <f>'Комплекс 1 '!#REF!</f>
        <v>#REF!</v>
      </c>
      <c r="E20" s="77">
        <f>'Комплекс 1 '!E291</f>
        <v>45.843499999999992</v>
      </c>
      <c r="F20" s="77" t="e">
        <f>'Комплекс 1 '!#REF!</f>
        <v>#REF!</v>
      </c>
      <c r="G20" s="77">
        <f>'Комплекс 1 '!F291</f>
        <v>257.16000000000003</v>
      </c>
      <c r="H20" s="77" t="e">
        <f>'Комплекс 1 '!#REF!</f>
        <v>#REF!</v>
      </c>
      <c r="I20" s="77">
        <f>'Комплекс 1 '!G291</f>
        <v>1653.5039999999999</v>
      </c>
      <c r="J20" s="77">
        <f>'Комплекс 1 '!H291</f>
        <v>2.12</v>
      </c>
      <c r="K20" s="77">
        <f>'Комплекс 1 '!I291</f>
        <v>94.579000000000008</v>
      </c>
      <c r="L20" s="77">
        <f>'Комплекс 1 '!J291</f>
        <v>4.9689999999999985</v>
      </c>
      <c r="M20" s="77">
        <f>'Комплекс 1 '!K291</f>
        <v>10.507000000000001</v>
      </c>
      <c r="N20" s="77">
        <f>'Комплекс 1 '!L291</f>
        <v>403.58600000000001</v>
      </c>
      <c r="O20" s="77">
        <f>'Комплекс 1 '!M291</f>
        <v>648.60100000000011</v>
      </c>
      <c r="P20" s="77">
        <f>'Комплекс 1 '!N291</f>
        <v>237.12199999999999</v>
      </c>
      <c r="Q20" s="77">
        <f>'Комплекс 1 '!O291</f>
        <v>17.119</v>
      </c>
      <c r="R20" s="77">
        <f>'Комплекс 1 '!P291</f>
        <v>2.2745000000000006</v>
      </c>
      <c r="S20" s="77">
        <f>'Комплекс 1 '!Q291</f>
        <v>37</v>
      </c>
    </row>
    <row r="21" spans="1:19" x14ac:dyDescent="0.2">
      <c r="A21" s="211" t="s">
        <v>94</v>
      </c>
      <c r="B21" s="211"/>
      <c r="C21" s="77">
        <f t="shared" ref="C21:S21" si="2">SUM(C15:C20)</f>
        <v>355.8005</v>
      </c>
      <c r="D21" s="77"/>
      <c r="E21" s="77">
        <f t="shared" si="2"/>
        <v>331.346</v>
      </c>
      <c r="F21" s="77"/>
      <c r="G21" s="77">
        <f t="shared" si="2"/>
        <v>1370.203</v>
      </c>
      <c r="H21" s="77"/>
      <c r="I21" s="213">
        <f t="shared" si="2"/>
        <v>9873.773000000001</v>
      </c>
      <c r="J21" s="77">
        <f t="shared" si="2"/>
        <v>7.7100000000000009</v>
      </c>
      <c r="K21" s="213">
        <f t="shared" si="2"/>
        <v>545.101</v>
      </c>
      <c r="L21" s="77">
        <f t="shared" si="2"/>
        <v>10.801715999999999</v>
      </c>
      <c r="M21" s="77">
        <f t="shared" si="2"/>
        <v>55.66</v>
      </c>
      <c r="N21" s="213">
        <f t="shared" si="2"/>
        <v>3283.9130000000005</v>
      </c>
      <c r="O21" s="213">
        <f t="shared" si="2"/>
        <v>4342.4780000000001</v>
      </c>
      <c r="P21" s="77">
        <f t="shared" si="2"/>
        <v>1350.8310000000001</v>
      </c>
      <c r="Q21" s="77">
        <f t="shared" si="2"/>
        <v>62.535399999999996</v>
      </c>
      <c r="R21" s="77">
        <f t="shared" si="2"/>
        <v>6.7710000000000008</v>
      </c>
      <c r="S21" s="77">
        <f t="shared" si="2"/>
        <v>189.345</v>
      </c>
    </row>
    <row r="22" spans="1:19" ht="15" x14ac:dyDescent="0.25">
      <c r="A22" s="211" t="s">
        <v>95</v>
      </c>
      <c r="B22" s="211"/>
      <c r="C22" s="75">
        <f t="shared" ref="C22:S22" si="3">C21/6</f>
        <v>59.300083333333333</v>
      </c>
      <c r="D22" s="75"/>
      <c r="E22" s="75">
        <f t="shared" si="3"/>
        <v>55.224333333333334</v>
      </c>
      <c r="F22" s="75"/>
      <c r="G22" s="75">
        <f t="shared" si="3"/>
        <v>228.36716666666666</v>
      </c>
      <c r="H22" s="75"/>
      <c r="I22" s="76">
        <f t="shared" si="3"/>
        <v>1645.6288333333334</v>
      </c>
      <c r="J22" s="75">
        <f t="shared" si="3"/>
        <v>1.2850000000000001</v>
      </c>
      <c r="K22" s="76">
        <f t="shared" si="3"/>
        <v>90.850166666666667</v>
      </c>
      <c r="L22" s="75">
        <f t="shared" si="3"/>
        <v>1.8002859999999998</v>
      </c>
      <c r="M22" s="75">
        <f t="shared" si="3"/>
        <v>9.2766666666666655</v>
      </c>
      <c r="N22" s="76">
        <f t="shared" si="3"/>
        <v>547.31883333333337</v>
      </c>
      <c r="O22" s="76">
        <f t="shared" si="3"/>
        <v>723.74633333333338</v>
      </c>
      <c r="P22" s="75">
        <f t="shared" si="3"/>
        <v>225.13850000000002</v>
      </c>
      <c r="Q22" s="75">
        <f t="shared" si="3"/>
        <v>10.422566666666667</v>
      </c>
      <c r="R22" s="75">
        <f t="shared" si="3"/>
        <v>1.1285000000000001</v>
      </c>
      <c r="S22" s="75">
        <f t="shared" si="3"/>
        <v>31.557500000000001</v>
      </c>
    </row>
    <row r="23" spans="1:19" x14ac:dyDescent="0.2">
      <c r="A23" s="211" t="s">
        <v>96</v>
      </c>
      <c r="B23" s="211"/>
      <c r="C23" s="77">
        <f>90*70/100</f>
        <v>63</v>
      </c>
      <c r="D23" s="77"/>
      <c r="E23" s="77">
        <f>92*70/100</f>
        <v>64.400000000000006</v>
      </c>
      <c r="F23" s="77"/>
      <c r="G23" s="77">
        <f>383*70/100</f>
        <v>268.10000000000002</v>
      </c>
      <c r="H23" s="77"/>
      <c r="I23" s="213">
        <f>2713*70/100</f>
        <v>1899.1</v>
      </c>
      <c r="J23" s="77">
        <f>1.4*70/100</f>
        <v>0.98</v>
      </c>
      <c r="K23" s="213">
        <f>70*70/100</f>
        <v>49</v>
      </c>
      <c r="L23" s="77">
        <f>0.9*70/100</f>
        <v>0.63</v>
      </c>
      <c r="M23" s="77">
        <f>12*70/100</f>
        <v>8.4</v>
      </c>
      <c r="N23" s="213">
        <f>1200*70/100</f>
        <v>840</v>
      </c>
      <c r="O23" s="213">
        <f>1800*70/100</f>
        <v>1260</v>
      </c>
      <c r="P23" s="77">
        <f>300*70/100</f>
        <v>210</v>
      </c>
      <c r="Q23" s="77">
        <f>17*70/100</f>
        <v>11.9</v>
      </c>
      <c r="R23" s="212">
        <f>1.6*70/100</f>
        <v>1.1200000000000001</v>
      </c>
      <c r="S23" s="212">
        <f>120*70/100</f>
        <v>84</v>
      </c>
    </row>
    <row r="24" spans="1:19" x14ac:dyDescent="0.2">
      <c r="A24" s="211" t="s">
        <v>97</v>
      </c>
      <c r="B24" s="211"/>
      <c r="C24" s="77">
        <f>90*60/100</f>
        <v>54</v>
      </c>
      <c r="D24" s="77"/>
      <c r="E24" s="77">
        <f>92*60/100</f>
        <v>55.2</v>
      </c>
      <c r="F24" s="77"/>
      <c r="G24" s="77">
        <f>383*60/100</f>
        <v>229.8</v>
      </c>
      <c r="H24" s="77"/>
      <c r="I24" s="213">
        <f>2713*60/100</f>
        <v>1627.8</v>
      </c>
      <c r="J24" s="77">
        <f>1.4*60/100</f>
        <v>0.84</v>
      </c>
      <c r="K24" s="213">
        <f>70*60/100</f>
        <v>42</v>
      </c>
      <c r="L24" s="77">
        <f>0.9*60/100</f>
        <v>0.54</v>
      </c>
      <c r="M24" s="77">
        <f>12*60/100</f>
        <v>7.2</v>
      </c>
      <c r="N24" s="213">
        <f>1200*60/100</f>
        <v>720</v>
      </c>
      <c r="O24" s="213">
        <f>1800*60/100</f>
        <v>1080</v>
      </c>
      <c r="P24" s="77">
        <f>300*60/100</f>
        <v>180</v>
      </c>
      <c r="Q24" s="77">
        <f>17*60/100</f>
        <v>10.199999999999999</v>
      </c>
      <c r="R24" s="212">
        <f>1.6*60/100</f>
        <v>0.96</v>
      </c>
      <c r="S24" s="212">
        <f>120*60/100</f>
        <v>72</v>
      </c>
    </row>
    <row r="25" spans="1:19" ht="15" x14ac:dyDescent="0.25">
      <c r="A25" s="211" t="s">
        <v>98</v>
      </c>
      <c r="B25" s="211"/>
      <c r="C25" s="77">
        <f>C22/C22</f>
        <v>1</v>
      </c>
      <c r="D25" s="77"/>
      <c r="E25" s="77">
        <f>E22/C22</f>
        <v>0.93126906791867914</v>
      </c>
      <c r="F25" s="77"/>
      <c r="G25" s="77">
        <f>G22/C22</f>
        <v>3.8510429299565345</v>
      </c>
      <c r="H25" s="77"/>
      <c r="I25" s="213"/>
      <c r="J25" s="77"/>
      <c r="K25" s="213"/>
      <c r="L25" s="77"/>
      <c r="M25" s="77"/>
      <c r="N25" s="213">
        <f>N22/N22</f>
        <v>1</v>
      </c>
      <c r="O25" s="76">
        <f>O22/N22</f>
        <v>1.3223486736707093</v>
      </c>
      <c r="P25" s="77"/>
      <c r="Q25" s="77"/>
    </row>
    <row r="26" spans="1:19" x14ac:dyDescent="0.2">
      <c r="A26" s="211" t="s">
        <v>100</v>
      </c>
      <c r="B26" s="211">
        <v>13</v>
      </c>
      <c r="C26" s="77">
        <f>'Комплекс 1 '!D317</f>
        <v>55.117999999999995</v>
      </c>
      <c r="D26" s="77" t="e">
        <f>'Комплекс 1 '!#REF!</f>
        <v>#REF!</v>
      </c>
      <c r="E26" s="77">
        <f>'Комплекс 1 '!E317</f>
        <v>58.826999999999998</v>
      </c>
      <c r="F26" s="77" t="e">
        <f>'Комплекс 1 '!#REF!</f>
        <v>#REF!</v>
      </c>
      <c r="G26" s="77">
        <f>'Комплекс 1 '!F317</f>
        <v>267.65899999999999</v>
      </c>
      <c r="H26" s="77" t="e">
        <f>'Комплекс 1 '!#REF!</f>
        <v>#REF!</v>
      </c>
      <c r="I26" s="77">
        <f>'Комплекс 1 '!G317</f>
        <v>1789.7149999999999</v>
      </c>
      <c r="J26" s="77">
        <f>'Комплекс 1 '!H317</f>
        <v>1.6500000000000001</v>
      </c>
      <c r="K26" s="77">
        <f>'Комплекс 1 '!I317</f>
        <v>58.673000000000002</v>
      </c>
      <c r="L26" s="77">
        <f>'Комплекс 1 '!J317</f>
        <v>1.8599999999999999</v>
      </c>
      <c r="M26" s="77">
        <f>'Комплекс 1 '!K317</f>
        <v>5.6849999999999996</v>
      </c>
      <c r="N26" s="77">
        <f>'Комплекс 1 '!L317</f>
        <v>558.12400000000002</v>
      </c>
      <c r="O26" s="77">
        <f>'Комплекс 1 '!M317</f>
        <v>572.09900000000005</v>
      </c>
      <c r="P26" s="77">
        <f>'Комплекс 1 '!N317</f>
        <v>168.821</v>
      </c>
      <c r="Q26" s="77">
        <f>'Комплекс 1 '!O317</f>
        <v>9.8361999999999998</v>
      </c>
      <c r="R26" s="77">
        <f>'Комплекс 1 '!P317</f>
        <v>1.1180000000000001</v>
      </c>
      <c r="S26" s="77">
        <f>'Комплекс 1 '!Q317</f>
        <v>38.58</v>
      </c>
    </row>
    <row r="27" spans="1:19" x14ac:dyDescent="0.2">
      <c r="A27" s="211"/>
      <c r="B27" s="211">
        <v>14</v>
      </c>
      <c r="C27" s="77">
        <f>'Комплекс 1 '!D341</f>
        <v>73.979500000000002</v>
      </c>
      <c r="D27" s="77" t="e">
        <f>'Комплекс 1 '!#REF!</f>
        <v>#REF!</v>
      </c>
      <c r="E27" s="77">
        <f>'Комплекс 1 '!E341</f>
        <v>64.871499999999997</v>
      </c>
      <c r="F27" s="77" t="e">
        <f>'Комплекс 1 '!#REF!</f>
        <v>#REF!</v>
      </c>
      <c r="G27" s="77">
        <f>'Комплекс 1 '!F341</f>
        <v>175.37</v>
      </c>
      <c r="H27" s="77" t="e">
        <f>'Комплекс 1 '!#REF!</f>
        <v>#REF!</v>
      </c>
      <c r="I27" s="77">
        <f>'Комплекс 1 '!G341</f>
        <v>1602.21</v>
      </c>
      <c r="J27" s="77">
        <f>'Комплекс 1 '!H341</f>
        <v>0.67</v>
      </c>
      <c r="K27" s="77">
        <f>'Комплекс 1 '!I341</f>
        <v>83.480999999999995</v>
      </c>
      <c r="L27" s="77">
        <f>'Комплекс 1 '!J341</f>
        <v>0.22599999999999998</v>
      </c>
      <c r="M27" s="77">
        <f>'Комплекс 1 '!K341</f>
        <v>4.5819999999999999</v>
      </c>
      <c r="N27" s="77">
        <f>'Комплекс 1 '!L341</f>
        <v>900.26099999999997</v>
      </c>
      <c r="O27" s="77">
        <f>'Комплекс 1 '!M341</f>
        <v>1089.93</v>
      </c>
      <c r="P27" s="77">
        <f>'Комплекс 1 '!N341</f>
        <v>206.50399999999999</v>
      </c>
      <c r="Q27" s="77">
        <f>'Комплекс 1 '!O341</f>
        <v>10.9078</v>
      </c>
      <c r="R27" s="77">
        <f>'Комплекс 1 '!P341</f>
        <v>1.2790000000000001</v>
      </c>
      <c r="S27" s="77">
        <f>'Комплекс 1 '!Q341</f>
        <v>137.57</v>
      </c>
    </row>
    <row r="28" spans="1:19" x14ac:dyDescent="0.2">
      <c r="A28" s="211"/>
      <c r="B28" s="211">
        <v>15</v>
      </c>
      <c r="C28" s="77">
        <f>'Комплекс 1 '!D365</f>
        <v>60.160499999999999</v>
      </c>
      <c r="D28" s="77" t="e">
        <f>'Комплекс 1 '!#REF!</f>
        <v>#REF!</v>
      </c>
      <c r="E28" s="77">
        <f>'Комплекс 1 '!E365</f>
        <v>67.891500000000008</v>
      </c>
      <c r="F28" s="77" t="e">
        <f>'Комплекс 1 '!#REF!</f>
        <v>#REF!</v>
      </c>
      <c r="G28" s="77">
        <f>'Комплекс 1 '!F365</f>
        <v>192.49099999999999</v>
      </c>
      <c r="H28" s="77" t="e">
        <f>'Комплекс 1 '!#REF!</f>
        <v>#REF!</v>
      </c>
      <c r="I28" s="77">
        <f>'Комплекс 1 '!G365</f>
        <v>1632.586</v>
      </c>
      <c r="J28" s="77">
        <f>'Комплекс 1 '!H365</f>
        <v>1.0640000000000001</v>
      </c>
      <c r="K28" s="77">
        <f>'Комплекс 1 '!I365</f>
        <v>139.33499999999998</v>
      </c>
      <c r="L28" s="77">
        <f>'Комплекс 1 '!J365</f>
        <v>1.212</v>
      </c>
      <c r="M28" s="77">
        <f>'Комплекс 1 '!K365</f>
        <v>2.8570000000000002</v>
      </c>
      <c r="N28" s="77">
        <f>'Комплекс 1 '!L365</f>
        <v>502.35299999999995</v>
      </c>
      <c r="O28" s="77">
        <f>'Комплекс 1 '!M365</f>
        <v>489.59800000000001</v>
      </c>
      <c r="P28" s="77">
        <f>'Комплекс 1 '!N365</f>
        <v>133.44300000000001</v>
      </c>
      <c r="Q28" s="77">
        <f>'Комплекс 1 '!O365</f>
        <v>9.8680000000000003</v>
      </c>
      <c r="R28" s="77">
        <f>'Комплекс 1 '!P365</f>
        <v>0.8175</v>
      </c>
      <c r="S28" s="77">
        <f>'Комплекс 1 '!Q365</f>
        <v>15.06</v>
      </c>
    </row>
    <row r="29" spans="1:19" x14ac:dyDescent="0.2">
      <c r="A29" s="211"/>
      <c r="B29" s="211">
        <v>16</v>
      </c>
      <c r="C29" s="77">
        <f>'Комплекс 1 '!D387</f>
        <v>61.263999999999996</v>
      </c>
      <c r="D29" s="77" t="e">
        <f>'Комплекс 1 '!#REF!</f>
        <v>#REF!</v>
      </c>
      <c r="E29" s="77">
        <f>'Комплекс 1 '!E387</f>
        <v>53.386499999999991</v>
      </c>
      <c r="F29" s="77" t="e">
        <f>'Комплекс 1 '!#REF!</f>
        <v>#REF!</v>
      </c>
      <c r="G29" s="77">
        <f>'Комплекс 1 '!F387</f>
        <v>228.01900000000001</v>
      </c>
      <c r="H29" s="77" t="e">
        <f>'Комплекс 1 '!#REF!</f>
        <v>#REF!</v>
      </c>
      <c r="I29" s="77">
        <f>'Комплекс 1 '!G387</f>
        <v>1624.3710000000001</v>
      </c>
      <c r="J29" s="77">
        <f>'Комплекс 1 '!H387</f>
        <v>1.7840000000000003</v>
      </c>
      <c r="K29" s="77">
        <f>'Комплекс 1 '!I387</f>
        <v>102.652</v>
      </c>
      <c r="L29" s="77">
        <f>'Комплекс 1 '!J387</f>
        <v>0.98499999999999999</v>
      </c>
      <c r="M29" s="77">
        <f>'Комплекс 1 '!K387</f>
        <v>6.89</v>
      </c>
      <c r="N29" s="77">
        <f>'Комплекс 1 '!L387</f>
        <v>603.11200000000008</v>
      </c>
      <c r="O29" s="77">
        <f>'Комплекс 1 '!M387</f>
        <v>897.63099999999986</v>
      </c>
      <c r="P29" s="77">
        <f>'Комплекс 1 '!N387</f>
        <v>300.47300000000001</v>
      </c>
      <c r="Q29" s="77">
        <f>'Комплекс 1 '!O387</f>
        <v>11.6982</v>
      </c>
      <c r="R29" s="77">
        <f>'Комплекс 1 '!P387</f>
        <v>1.0785</v>
      </c>
      <c r="S29" s="77">
        <f>'Комплекс 1 '!Q387</f>
        <v>43.740499999999997</v>
      </c>
    </row>
    <row r="30" spans="1:19" x14ac:dyDescent="0.2">
      <c r="A30" s="211"/>
      <c r="B30" s="211">
        <v>17</v>
      </c>
      <c r="C30" s="77">
        <f>'Комплекс 1 '!D410</f>
        <v>47.041000000000004</v>
      </c>
      <c r="D30" s="77" t="e">
        <f>'Комплекс 1 '!#REF!</f>
        <v>#REF!</v>
      </c>
      <c r="E30" s="77">
        <f>'Комплекс 1 '!E410</f>
        <v>46.749999999999993</v>
      </c>
      <c r="F30" s="77" t="e">
        <f>'Комплекс 1 '!#REF!</f>
        <v>#REF!</v>
      </c>
      <c r="G30" s="77">
        <f>'Комплекс 1 '!F410</f>
        <v>255.79999999999998</v>
      </c>
      <c r="H30" s="77" t="e">
        <f>'Комплекс 1 '!#REF!</f>
        <v>#REF!</v>
      </c>
      <c r="I30" s="77">
        <f>'Комплекс 1 '!G410</f>
        <v>1628.12</v>
      </c>
      <c r="J30" s="77">
        <f>'Комплекс 1 '!H410</f>
        <v>0.89000000000000012</v>
      </c>
      <c r="K30" s="77">
        <f>'Комплекс 1 '!I410</f>
        <v>81.091999999999999</v>
      </c>
      <c r="L30" s="77">
        <f>'Комплекс 1 '!J410</f>
        <v>0.30599999999999999</v>
      </c>
      <c r="M30" s="77">
        <f>'Комплекс 1 '!K410</f>
        <v>3.2800000000000002</v>
      </c>
      <c r="N30" s="77">
        <f>'Комплекс 1 '!L410</f>
        <v>617.19000000000005</v>
      </c>
      <c r="O30" s="77">
        <f>'Комплекс 1 '!M410</f>
        <v>808.84699999999998</v>
      </c>
      <c r="P30" s="77">
        <f>'Комплекс 1 '!N410</f>
        <v>194.79999999999995</v>
      </c>
      <c r="Q30" s="77">
        <f>'Комплекс 1 '!O410</f>
        <v>12.015000000000001</v>
      </c>
      <c r="R30" s="77">
        <f>'Комплекс 1 '!P410</f>
        <v>0.877</v>
      </c>
      <c r="S30" s="77">
        <f>'Комплекс 1 '!Q410</f>
        <v>24.160000000000004</v>
      </c>
    </row>
    <row r="31" spans="1:19" x14ac:dyDescent="0.2">
      <c r="A31" s="211"/>
      <c r="B31" s="211">
        <v>18</v>
      </c>
      <c r="C31" s="77">
        <f>'Комплекс 1 '!D434</f>
        <v>65.845500000000001</v>
      </c>
      <c r="D31" s="77" t="e">
        <f>'Комплекс 1 '!#REF!</f>
        <v>#REF!</v>
      </c>
      <c r="E31" s="77">
        <f>'Комплекс 1 '!E434</f>
        <v>52.775500000000001</v>
      </c>
      <c r="F31" s="77" t="e">
        <f>'Комплекс 1 '!#REF!</f>
        <v>#REF!</v>
      </c>
      <c r="G31" s="77">
        <f>'Комплекс 1 '!F434</f>
        <v>206.76</v>
      </c>
      <c r="H31" s="77" t="e">
        <f>'Комплекс 1 '!#REF!</f>
        <v>#REF!</v>
      </c>
      <c r="I31" s="77">
        <f>'Комплекс 1 '!G434</f>
        <v>1529.56</v>
      </c>
      <c r="J31" s="77">
        <f>'Комплекс 1 '!H434</f>
        <v>1.39</v>
      </c>
      <c r="K31" s="77">
        <f>'Комплекс 1 '!I434</f>
        <v>67.436000000000007</v>
      </c>
      <c r="L31" s="77">
        <f>'Комплекс 1 '!J434</f>
        <v>0.5</v>
      </c>
      <c r="M31" s="77">
        <f>'Комплекс 1 '!K434</f>
        <v>5.2850000000000001</v>
      </c>
      <c r="N31" s="77">
        <f>'Комплекс 1 '!L434</f>
        <v>663.60199999999998</v>
      </c>
      <c r="O31" s="77">
        <f>'Комплекс 1 '!M434</f>
        <v>697.99600000000009</v>
      </c>
      <c r="P31" s="77">
        <f>'Комплекс 1 '!N434</f>
        <v>161.447</v>
      </c>
      <c r="Q31" s="77">
        <f>'Комплекс 1 '!O434</f>
        <v>7.2780000000000005</v>
      </c>
      <c r="R31" s="77">
        <f>'Комплекс 1 '!P434</f>
        <v>2.7490000000000006</v>
      </c>
      <c r="S31" s="77">
        <f>'Комплекс 1 '!Q434</f>
        <v>46.65</v>
      </c>
    </row>
    <row r="32" spans="1:19" x14ac:dyDescent="0.2">
      <c r="A32" s="211" t="s">
        <v>94</v>
      </c>
      <c r="B32" s="211"/>
      <c r="C32" s="77">
        <f t="shared" ref="C32:S32" si="4">SUM(C26:C31)</f>
        <v>363.4085</v>
      </c>
      <c r="D32" s="77"/>
      <c r="E32" s="77">
        <f t="shared" si="4"/>
        <v>344.50200000000001</v>
      </c>
      <c r="F32" s="77"/>
      <c r="G32" s="77">
        <f t="shared" si="4"/>
        <v>1326.0989999999999</v>
      </c>
      <c r="H32" s="77"/>
      <c r="I32" s="213">
        <f t="shared" si="4"/>
        <v>9806.5619999999999</v>
      </c>
      <c r="J32" s="77">
        <f t="shared" si="4"/>
        <v>7.4480000000000013</v>
      </c>
      <c r="K32" s="213">
        <f t="shared" si="4"/>
        <v>532.66899999999998</v>
      </c>
      <c r="L32" s="77">
        <f t="shared" si="4"/>
        <v>5.0890000000000004</v>
      </c>
      <c r="M32" s="77">
        <f t="shared" si="4"/>
        <v>28.579000000000001</v>
      </c>
      <c r="N32" s="213">
        <f t="shared" si="4"/>
        <v>3844.6419999999998</v>
      </c>
      <c r="O32" s="213">
        <f t="shared" si="4"/>
        <v>4556.1009999999997</v>
      </c>
      <c r="P32" s="77">
        <f t="shared" si="4"/>
        <v>1165.4879999999998</v>
      </c>
      <c r="Q32" s="77">
        <f t="shared" si="4"/>
        <v>61.603200000000001</v>
      </c>
      <c r="R32" s="77">
        <f t="shared" si="4"/>
        <v>7.9190000000000005</v>
      </c>
      <c r="S32" s="77">
        <f t="shared" si="4"/>
        <v>305.76049999999998</v>
      </c>
    </row>
    <row r="33" spans="1:19" ht="15" x14ac:dyDescent="0.25">
      <c r="A33" s="211" t="s">
        <v>95</v>
      </c>
      <c r="B33" s="211"/>
      <c r="C33" s="75">
        <f t="shared" ref="C33:S33" si="5">C32/6</f>
        <v>60.568083333333334</v>
      </c>
      <c r="D33" s="75"/>
      <c r="E33" s="77">
        <f t="shared" si="5"/>
        <v>57.417000000000002</v>
      </c>
      <c r="F33" s="77"/>
      <c r="G33" s="75">
        <f t="shared" si="5"/>
        <v>221.01649999999998</v>
      </c>
      <c r="H33" s="75"/>
      <c r="I33" s="76">
        <f t="shared" si="5"/>
        <v>1634.4269999999999</v>
      </c>
      <c r="J33" s="75">
        <f t="shared" si="5"/>
        <v>1.2413333333333336</v>
      </c>
      <c r="K33" s="76">
        <f t="shared" si="5"/>
        <v>88.778166666666664</v>
      </c>
      <c r="L33" s="75">
        <f t="shared" si="5"/>
        <v>0.84816666666666674</v>
      </c>
      <c r="M33" s="75">
        <f t="shared" si="5"/>
        <v>4.7631666666666668</v>
      </c>
      <c r="N33" s="76">
        <f t="shared" si="5"/>
        <v>640.7736666666666</v>
      </c>
      <c r="O33" s="76">
        <f t="shared" si="5"/>
        <v>759.35016666666661</v>
      </c>
      <c r="P33" s="75">
        <f t="shared" si="5"/>
        <v>194.24799999999996</v>
      </c>
      <c r="Q33" s="216">
        <f t="shared" si="5"/>
        <v>10.267200000000001</v>
      </c>
      <c r="R33" s="216">
        <f t="shared" si="5"/>
        <v>1.3198333333333334</v>
      </c>
      <c r="S33" s="216">
        <f t="shared" si="5"/>
        <v>50.96008333333333</v>
      </c>
    </row>
    <row r="34" spans="1:19" x14ac:dyDescent="0.2">
      <c r="A34" s="211" t="s">
        <v>96</v>
      </c>
      <c r="B34" s="211"/>
      <c r="C34" s="77">
        <f>90*70/100</f>
        <v>63</v>
      </c>
      <c r="D34" s="77"/>
      <c r="E34" s="77">
        <f>92*70/100</f>
        <v>64.400000000000006</v>
      </c>
      <c r="F34" s="77"/>
      <c r="G34" s="77">
        <f>383*70/100</f>
        <v>268.10000000000002</v>
      </c>
      <c r="H34" s="77"/>
      <c r="I34" s="213">
        <f>2713*70/100</f>
        <v>1899.1</v>
      </c>
      <c r="J34" s="77">
        <f>1.4*70/100</f>
        <v>0.98</v>
      </c>
      <c r="K34" s="213">
        <f>70*70/100</f>
        <v>49</v>
      </c>
      <c r="L34" s="77">
        <f>0.9*70/100</f>
        <v>0.63</v>
      </c>
      <c r="M34" s="77">
        <f>12*70/100</f>
        <v>8.4</v>
      </c>
      <c r="N34" s="213">
        <f>1200*70/100</f>
        <v>840</v>
      </c>
      <c r="O34" s="213">
        <f>1800*70/100</f>
        <v>1260</v>
      </c>
      <c r="P34" s="77">
        <f>300*70/100</f>
        <v>210</v>
      </c>
      <c r="Q34" s="77">
        <f>17*70/100</f>
        <v>11.9</v>
      </c>
      <c r="R34" s="212">
        <f>1.6*70/100</f>
        <v>1.1200000000000001</v>
      </c>
      <c r="S34" s="212">
        <f>120*70/100</f>
        <v>84</v>
      </c>
    </row>
    <row r="35" spans="1:19" x14ac:dyDescent="0.2">
      <c r="A35" s="211" t="s">
        <v>97</v>
      </c>
      <c r="B35" s="211"/>
      <c r="C35" s="77">
        <f>90*60/100</f>
        <v>54</v>
      </c>
      <c r="D35" s="77"/>
      <c r="E35" s="77">
        <f>92*60/100</f>
        <v>55.2</v>
      </c>
      <c r="F35" s="77"/>
      <c r="G35" s="77">
        <f>383*60/100</f>
        <v>229.8</v>
      </c>
      <c r="H35" s="77"/>
      <c r="I35" s="213">
        <f>2713*60/100</f>
        <v>1627.8</v>
      </c>
      <c r="J35" s="77">
        <f>1.4*60/100</f>
        <v>0.84</v>
      </c>
      <c r="K35" s="213">
        <f>70*60/100</f>
        <v>42</v>
      </c>
      <c r="L35" s="77">
        <f>0.9*60/100</f>
        <v>0.54</v>
      </c>
      <c r="M35" s="77">
        <f>12*60/100</f>
        <v>7.2</v>
      </c>
      <c r="N35" s="213">
        <f>1200*60/100</f>
        <v>720</v>
      </c>
      <c r="O35" s="213">
        <f>1800*60/100</f>
        <v>1080</v>
      </c>
      <c r="P35" s="77">
        <f>300*60/100</f>
        <v>180</v>
      </c>
      <c r="Q35" s="77">
        <f>17*60/100</f>
        <v>10.199999999999999</v>
      </c>
      <c r="R35" s="212">
        <f>1.6*60/100</f>
        <v>0.96</v>
      </c>
      <c r="S35" s="212">
        <f>120*60/100</f>
        <v>72</v>
      </c>
    </row>
    <row r="36" spans="1:19" ht="15" x14ac:dyDescent="0.25">
      <c r="A36" s="211" t="s">
        <v>98</v>
      </c>
      <c r="B36" s="211"/>
      <c r="C36" s="77">
        <f>C33/C33</f>
        <v>1</v>
      </c>
      <c r="D36" s="77"/>
      <c r="E36" s="77">
        <f>E33/C33</f>
        <v>0.94797452453643771</v>
      </c>
      <c r="F36" s="77"/>
      <c r="G36" s="77">
        <f>G33/C33</f>
        <v>3.6490588414965526</v>
      </c>
      <c r="H36" s="77"/>
      <c r="I36" s="213"/>
      <c r="J36" s="77"/>
      <c r="K36" s="213"/>
      <c r="L36" s="77"/>
      <c r="M36" s="77"/>
      <c r="N36" s="213">
        <f>N33/N33</f>
        <v>1</v>
      </c>
      <c r="O36" s="76">
        <f>O33/N33</f>
        <v>1.1850520802717133</v>
      </c>
      <c r="P36" s="77"/>
      <c r="Q36" s="77"/>
    </row>
    <row r="37" spans="1:19" x14ac:dyDescent="0.2">
      <c r="A37" s="211" t="s">
        <v>101</v>
      </c>
      <c r="B37" s="211">
        <v>19</v>
      </c>
      <c r="C37" s="77">
        <f>'Комплекс 1 '!D460</f>
        <v>58.954000000000001</v>
      </c>
      <c r="D37" s="77" t="e">
        <f>'Комплекс 1 '!#REF!</f>
        <v>#REF!</v>
      </c>
      <c r="E37" s="77">
        <f>'Комплекс 1 '!E460</f>
        <v>67.234499999999997</v>
      </c>
      <c r="F37" s="77" t="e">
        <f>'Комплекс 1 '!#REF!</f>
        <v>#REF!</v>
      </c>
      <c r="G37" s="77">
        <f>'Комплекс 1 '!F460</f>
        <v>200.99900000000002</v>
      </c>
      <c r="H37" s="77" t="e">
        <f>'Комплекс 1 '!#REF!</f>
        <v>#REF!</v>
      </c>
      <c r="I37" s="77">
        <f>'Комплекс 1 '!G460</f>
        <v>1659.6670000000001</v>
      </c>
      <c r="J37" s="77">
        <f>'Комплекс 1 '!H460</f>
        <v>1.1474</v>
      </c>
      <c r="K37" s="77">
        <f>'Комплекс 1 '!I460</f>
        <v>232.114</v>
      </c>
      <c r="L37" s="77">
        <f>'Комплекс 1 '!J460</f>
        <v>0.19</v>
      </c>
      <c r="M37" s="77">
        <f>'Комплекс 1 '!K460</f>
        <v>5.149</v>
      </c>
      <c r="N37" s="77">
        <f>'Комплекс 1 '!L460</f>
        <v>455.73100000000005</v>
      </c>
      <c r="O37" s="77">
        <f>'Комплекс 1 '!M460</f>
        <v>630.42799999999988</v>
      </c>
      <c r="P37" s="77">
        <f>'Комплекс 1 '!N460</f>
        <v>295.67899999999997</v>
      </c>
      <c r="Q37" s="77">
        <f>'Комплекс 1 '!O460</f>
        <v>15.372199999999999</v>
      </c>
      <c r="R37" s="77">
        <f>'Комплекс 1 '!P460</f>
        <v>1.0377000000000001</v>
      </c>
      <c r="S37" s="77">
        <f>'Комплекс 1 '!Q460</f>
        <v>35.700000000000003</v>
      </c>
    </row>
    <row r="38" spans="1:19" x14ac:dyDescent="0.2">
      <c r="A38" s="211"/>
      <c r="B38" s="211">
        <v>20</v>
      </c>
      <c r="C38" s="77">
        <f>'Комплекс 1 '!D482</f>
        <v>66.986000000000004</v>
      </c>
      <c r="D38" s="77" t="e">
        <f>'Комплекс 1 '!#REF!</f>
        <v>#REF!</v>
      </c>
      <c r="E38" s="77">
        <f>'Комплекс 1 '!E482</f>
        <v>61.954000000000001</v>
      </c>
      <c r="F38" s="77" t="e">
        <f>'Комплекс 1 '!#REF!</f>
        <v>#REF!</v>
      </c>
      <c r="G38" s="77">
        <f>'Комплекс 1 '!F482</f>
        <v>209.27399999999997</v>
      </c>
      <c r="H38" s="77" t="e">
        <f>'Комплекс 1 '!#REF!</f>
        <v>#REF!</v>
      </c>
      <c r="I38" s="77">
        <f>'Комплекс 1 '!G482</f>
        <v>1647.778</v>
      </c>
      <c r="J38" s="77">
        <f>'Комплекс 1 '!H482</f>
        <v>1.6649999999999998</v>
      </c>
      <c r="K38" s="77">
        <f>'Комплекс 1 '!I482</f>
        <v>81.528999999999996</v>
      </c>
      <c r="L38" s="77">
        <f>'Комплекс 1 '!J482</f>
        <v>1.2040000000000002</v>
      </c>
      <c r="M38" s="77">
        <f>'Комплекс 1 '!K482</f>
        <v>8.91</v>
      </c>
      <c r="N38" s="77">
        <f>'Комплекс 1 '!L482</f>
        <v>760.15000000000009</v>
      </c>
      <c r="O38" s="77">
        <f>'Комплекс 1 '!M482</f>
        <v>1046.3109999999999</v>
      </c>
      <c r="P38" s="77">
        <f>'Комплекс 1 '!N482</f>
        <v>185.21200000000002</v>
      </c>
      <c r="Q38" s="77">
        <f>'Комплекс 1 '!O482</f>
        <v>10.859</v>
      </c>
      <c r="R38" s="77">
        <f>'Комплекс 1 '!P482</f>
        <v>1.9130000000000003</v>
      </c>
      <c r="S38" s="77">
        <f>'Комплекс 1 '!Q482</f>
        <v>75.085000000000008</v>
      </c>
    </row>
    <row r="39" spans="1:19" x14ac:dyDescent="0.2">
      <c r="A39" s="211"/>
      <c r="B39" s="211">
        <v>21</v>
      </c>
      <c r="C39" s="77">
        <f>'Комплекс 1 '!D505</f>
        <v>66.02</v>
      </c>
      <c r="D39" s="77" t="e">
        <f>'Комплекс 1 '!#REF!</f>
        <v>#REF!</v>
      </c>
      <c r="E39" s="77">
        <f>'Комплекс 1 '!E505</f>
        <v>63.668499999999995</v>
      </c>
      <c r="F39" s="77" t="e">
        <f>'Комплекс 1 '!#REF!</f>
        <v>#REF!</v>
      </c>
      <c r="G39" s="77">
        <f>'Комплекс 1 '!F505</f>
        <v>228.47999999999996</v>
      </c>
      <c r="H39" s="77" t="e">
        <f>'Комплекс 1 '!#REF!</f>
        <v>#REF!</v>
      </c>
      <c r="I39" s="77">
        <f>'Комплекс 1 '!G505</f>
        <v>1629.0880000000002</v>
      </c>
      <c r="J39" s="77">
        <f>'Комплекс 1 '!H505</f>
        <v>1.369</v>
      </c>
      <c r="K39" s="77">
        <f>'Комплекс 1 '!I505</f>
        <v>182.55100000000002</v>
      </c>
      <c r="L39" s="77">
        <f>'Комплекс 1 '!J505</f>
        <v>0.17099999999999999</v>
      </c>
      <c r="M39" s="77">
        <f>'Комплекс 1 '!K505</f>
        <v>5.6400000000000006</v>
      </c>
      <c r="N39" s="77">
        <f>'Комплекс 1 '!L505</f>
        <v>376.30099999999999</v>
      </c>
      <c r="O39" s="77">
        <f>'Комплекс 1 '!M505</f>
        <v>501.71600000000001</v>
      </c>
      <c r="P39" s="77">
        <f>'Комплекс 1 '!N505</f>
        <v>151.839</v>
      </c>
      <c r="Q39" s="77">
        <f>'Комплекс 1 '!O505</f>
        <v>9.5120000000000005</v>
      </c>
      <c r="R39" s="77">
        <f>'Комплекс 1 '!P505</f>
        <v>0.65900000000000003</v>
      </c>
      <c r="S39" s="77">
        <f>'Комплекс 1 '!Q505</f>
        <v>41.349999999999994</v>
      </c>
    </row>
    <row r="40" spans="1:19" x14ac:dyDescent="0.2">
      <c r="A40" s="211"/>
      <c r="B40" s="211">
        <v>22</v>
      </c>
      <c r="C40" s="77">
        <f>'Комплекс 1 '!D526</f>
        <v>72.942999999999998</v>
      </c>
      <c r="D40" s="77" t="e">
        <f>'Комплекс 1 '!#REF!</f>
        <v>#REF!</v>
      </c>
      <c r="E40" s="77">
        <f>'Комплекс 1 '!E526</f>
        <v>67.796999999999997</v>
      </c>
      <c r="F40" s="77" t="e">
        <f>'Комплекс 1 '!#REF!</f>
        <v>#REF!</v>
      </c>
      <c r="G40" s="77">
        <f>'Комплекс 1 '!F526</f>
        <v>172.23</v>
      </c>
      <c r="H40" s="77" t="e">
        <f>'Комплекс 1 '!#REF!</f>
        <v>#REF!</v>
      </c>
      <c r="I40" s="77">
        <f>'Комплекс 1 '!G526</f>
        <v>1573.3389999999999</v>
      </c>
      <c r="J40" s="77">
        <f>'Комплекс 1 '!H526</f>
        <v>0.91400000000000003</v>
      </c>
      <c r="K40" s="77">
        <f>'Комплекс 1 '!I526</f>
        <v>32.305999999999997</v>
      </c>
      <c r="L40" s="77">
        <f>'Комплекс 1 '!J526</f>
        <v>0.20500000000000002</v>
      </c>
      <c r="M40" s="77">
        <f>'Комплекс 1 '!K526</f>
        <v>2.6850000000000001</v>
      </c>
      <c r="N40" s="77">
        <f>'Комплекс 1 '!L526</f>
        <v>767.08799999999997</v>
      </c>
      <c r="O40" s="77">
        <f>'Комплекс 1 '!M526</f>
        <v>863.36599999999999</v>
      </c>
      <c r="P40" s="77">
        <f>'Комплекс 1 '!N526</f>
        <v>199.75</v>
      </c>
      <c r="Q40" s="77">
        <f>'Комплекс 1 '!O526</f>
        <v>19.810199999999995</v>
      </c>
      <c r="R40" s="77">
        <f>'Комплекс 1 '!P526</f>
        <v>0.95500000000000007</v>
      </c>
      <c r="S40" s="77">
        <f>'Комплекс 1 '!Q526</f>
        <v>29.11</v>
      </c>
    </row>
    <row r="41" spans="1:19" x14ac:dyDescent="0.2">
      <c r="A41" s="211"/>
      <c r="B41" s="211">
        <v>23</v>
      </c>
      <c r="C41" s="77">
        <f>'Комплекс 1 '!D549</f>
        <v>64.614000000000004</v>
      </c>
      <c r="D41" s="77" t="e">
        <f>'Комплекс 1 '!#REF!</f>
        <v>#REF!</v>
      </c>
      <c r="E41" s="77">
        <f>'Комплекс 1 '!E549</f>
        <v>40.761999999999993</v>
      </c>
      <c r="F41" s="77" t="e">
        <f>'Комплекс 1 '!#REF!</f>
        <v>#REF!</v>
      </c>
      <c r="G41" s="77">
        <f>'Комплекс 1 '!F549</f>
        <v>243.964</v>
      </c>
      <c r="H41" s="77" t="e">
        <f>'Комплекс 1 '!#REF!</f>
        <v>#REF!</v>
      </c>
      <c r="I41" s="77">
        <f>'Комплекс 1 '!G549</f>
        <v>1590.4460000000001</v>
      </c>
      <c r="J41" s="77">
        <f>'Комплекс 1 '!H549</f>
        <v>1.5258</v>
      </c>
      <c r="K41" s="77">
        <f>'Комплекс 1 '!I549</f>
        <v>169.46700000000001</v>
      </c>
      <c r="L41" s="77">
        <f>'Комплекс 1 '!J549</f>
        <v>3.4040000000000004</v>
      </c>
      <c r="M41" s="77">
        <f>'Комплекс 1 '!K549</f>
        <v>4.8539999999999992</v>
      </c>
      <c r="N41" s="77">
        <f>'Комплекс 1 '!L549</f>
        <v>794.85400000000004</v>
      </c>
      <c r="O41" s="77">
        <f>'Комплекс 1 '!M549</f>
        <v>1169.7269999999999</v>
      </c>
      <c r="P41" s="77">
        <f>'Комплекс 1 '!N549</f>
        <v>275.85500000000002</v>
      </c>
      <c r="Q41" s="77">
        <f>'Комплекс 1 '!O549</f>
        <v>12.673</v>
      </c>
      <c r="R41" s="77">
        <f>'Комплекс 1 '!P549</f>
        <v>1.6220000000000001</v>
      </c>
      <c r="S41" s="77">
        <f>'Комплекс 1 '!Q549</f>
        <v>76.650000000000006</v>
      </c>
    </row>
    <row r="42" spans="1:19" x14ac:dyDescent="0.2">
      <c r="A42" s="211"/>
      <c r="B42" s="211">
        <v>24</v>
      </c>
      <c r="C42" s="77">
        <f>'Комплекс 1 '!D571</f>
        <v>39.572000000000003</v>
      </c>
      <c r="D42" s="77" t="e">
        <f>'Комплекс 1 '!#REF!</f>
        <v>#REF!</v>
      </c>
      <c r="E42" s="77">
        <f>'Комплекс 1 '!E571</f>
        <v>58.664999999999999</v>
      </c>
      <c r="F42" s="77" t="e">
        <f>'Комплекс 1 '!#REF!</f>
        <v>#REF!</v>
      </c>
      <c r="G42" s="77">
        <f>'Комплекс 1 '!F571</f>
        <v>237.071</v>
      </c>
      <c r="H42" s="77" t="e">
        <f>'Комплекс 1 '!#REF!</f>
        <v>#REF!</v>
      </c>
      <c r="I42" s="77">
        <f>'Комплекс 1 '!G571</f>
        <v>1617.1330000000003</v>
      </c>
      <c r="J42" s="77">
        <f>'Комплекс 1 '!H571</f>
        <v>1.732</v>
      </c>
      <c r="K42" s="77">
        <f>'Комплекс 1 '!I571</f>
        <v>44.715999999999994</v>
      </c>
      <c r="L42" s="77">
        <f>'Комплекс 1 '!J571</f>
        <v>3.0269999999999997</v>
      </c>
      <c r="M42" s="77">
        <f>'Комплекс 1 '!K571</f>
        <v>11.431000000000001</v>
      </c>
      <c r="N42" s="77">
        <f>'Комплекс 1 '!L571</f>
        <v>639.48700000000008</v>
      </c>
      <c r="O42" s="77">
        <f>'Комплекс 1 '!M571</f>
        <v>833.26099999999997</v>
      </c>
      <c r="P42" s="77">
        <f>'Комплекс 1 '!N571</f>
        <v>178.97700000000003</v>
      </c>
      <c r="Q42" s="77">
        <f>'Комплекс 1 '!O571</f>
        <v>16.975199999999997</v>
      </c>
      <c r="R42" s="77">
        <f>'Комплекс 1 '!P571</f>
        <v>1.5740000000000001</v>
      </c>
      <c r="S42" s="77">
        <f>'Комплекс 1 '!Q571</f>
        <v>39.799999999999997</v>
      </c>
    </row>
    <row r="43" spans="1:19" x14ac:dyDescent="0.2">
      <c r="A43" s="211" t="s">
        <v>94</v>
      </c>
      <c r="B43" s="211"/>
      <c r="C43" s="77">
        <f>SUM(C37:C42)</f>
        <v>369.08899999999994</v>
      </c>
      <c r="D43" s="77"/>
      <c r="E43" s="77">
        <f t="shared" ref="E43:S43" si="6">SUM(E37:E42)</f>
        <v>360.08100000000002</v>
      </c>
      <c r="F43" s="77"/>
      <c r="G43" s="77">
        <f t="shared" si="6"/>
        <v>1292.0179999999998</v>
      </c>
      <c r="H43" s="77"/>
      <c r="I43" s="213">
        <f t="shared" si="6"/>
        <v>9717.4510000000009</v>
      </c>
      <c r="J43" s="77">
        <f t="shared" si="6"/>
        <v>8.3531999999999993</v>
      </c>
      <c r="K43" s="213">
        <f t="shared" si="6"/>
        <v>742.68300000000011</v>
      </c>
      <c r="L43" s="77">
        <f t="shared" si="6"/>
        <v>8.2010000000000005</v>
      </c>
      <c r="M43" s="77">
        <f t="shared" si="6"/>
        <v>38.668999999999997</v>
      </c>
      <c r="N43" s="213">
        <f t="shared" si="6"/>
        <v>3793.6109999999999</v>
      </c>
      <c r="O43" s="213">
        <f t="shared" si="6"/>
        <v>5044.8089999999993</v>
      </c>
      <c r="P43" s="77">
        <f t="shared" si="6"/>
        <v>1287.3120000000001</v>
      </c>
      <c r="Q43" s="77">
        <f t="shared" si="6"/>
        <v>85.201599999999999</v>
      </c>
      <c r="R43" s="77">
        <f t="shared" si="6"/>
        <v>7.7606999999999999</v>
      </c>
      <c r="S43" s="77">
        <f t="shared" si="6"/>
        <v>297.69499999999999</v>
      </c>
    </row>
    <row r="44" spans="1:19" ht="15" x14ac:dyDescent="0.25">
      <c r="A44" s="211" t="s">
        <v>95</v>
      </c>
      <c r="B44" s="211"/>
      <c r="C44" s="75">
        <f>C43/6</f>
        <v>61.514833333333321</v>
      </c>
      <c r="D44" s="75"/>
      <c r="E44" s="77">
        <f t="shared" ref="E44:S44" si="7">E43/6</f>
        <v>60.013500000000001</v>
      </c>
      <c r="F44" s="77"/>
      <c r="G44" s="75">
        <f t="shared" si="7"/>
        <v>215.3363333333333</v>
      </c>
      <c r="H44" s="75"/>
      <c r="I44" s="213">
        <f>I43/6</f>
        <v>1619.5751666666667</v>
      </c>
      <c r="J44" s="75">
        <f t="shared" si="7"/>
        <v>1.3921999999999999</v>
      </c>
      <c r="K44" s="76">
        <f t="shared" si="7"/>
        <v>123.78050000000002</v>
      </c>
      <c r="L44" s="75">
        <f t="shared" si="7"/>
        <v>1.3668333333333333</v>
      </c>
      <c r="M44" s="75">
        <f t="shared" si="7"/>
        <v>6.4448333333333325</v>
      </c>
      <c r="N44" s="76">
        <f t="shared" si="7"/>
        <v>632.26850000000002</v>
      </c>
      <c r="O44" s="76">
        <f t="shared" si="7"/>
        <v>840.80149999999992</v>
      </c>
      <c r="P44" s="75">
        <f t="shared" si="7"/>
        <v>214.55200000000002</v>
      </c>
      <c r="Q44" s="75">
        <f t="shared" si="7"/>
        <v>14.200266666666666</v>
      </c>
      <c r="R44" s="75">
        <f t="shared" si="7"/>
        <v>1.29345</v>
      </c>
      <c r="S44" s="75">
        <f t="shared" si="7"/>
        <v>49.615833333333335</v>
      </c>
    </row>
    <row r="45" spans="1:19" x14ac:dyDescent="0.2">
      <c r="A45" s="211" t="s">
        <v>96</v>
      </c>
      <c r="B45" s="211"/>
      <c r="C45" s="77">
        <f>90*70/100</f>
        <v>63</v>
      </c>
      <c r="D45" s="77"/>
      <c r="E45" s="77">
        <f>92*70/100</f>
        <v>64.400000000000006</v>
      </c>
      <c r="F45" s="77"/>
      <c r="G45" s="77">
        <f>383*70/100</f>
        <v>268.10000000000002</v>
      </c>
      <c r="H45" s="77"/>
      <c r="I45" s="213">
        <f>2713*70/100</f>
        <v>1899.1</v>
      </c>
      <c r="J45" s="77">
        <f>1.4*70/100</f>
        <v>0.98</v>
      </c>
      <c r="K45" s="213">
        <f>70*70/100</f>
        <v>49</v>
      </c>
      <c r="L45" s="77">
        <f>0.9*70/100</f>
        <v>0.63</v>
      </c>
      <c r="M45" s="77">
        <f>12*70/100</f>
        <v>8.4</v>
      </c>
      <c r="N45" s="213">
        <f>1200*70/100</f>
        <v>840</v>
      </c>
      <c r="O45" s="213">
        <f>1800*70/100</f>
        <v>1260</v>
      </c>
      <c r="P45" s="77">
        <f>300*70/100</f>
        <v>210</v>
      </c>
      <c r="Q45" s="77">
        <f>17*70/100</f>
        <v>11.9</v>
      </c>
      <c r="R45" s="212">
        <f>1.6*70/100</f>
        <v>1.1200000000000001</v>
      </c>
      <c r="S45" s="212">
        <f>120*70/100</f>
        <v>84</v>
      </c>
    </row>
    <row r="46" spans="1:19" x14ac:dyDescent="0.2">
      <c r="A46" s="211" t="s">
        <v>97</v>
      </c>
      <c r="B46" s="211"/>
      <c r="C46" s="77">
        <f>90*60/100</f>
        <v>54</v>
      </c>
      <c r="D46" s="77"/>
      <c r="E46" s="77">
        <f>92*60/100</f>
        <v>55.2</v>
      </c>
      <c r="F46" s="77"/>
      <c r="G46" s="77">
        <f>383*60/100</f>
        <v>229.8</v>
      </c>
      <c r="H46" s="77"/>
      <c r="I46" s="213">
        <f>2713*60/100</f>
        <v>1627.8</v>
      </c>
      <c r="J46" s="77">
        <f>1.4*60/100</f>
        <v>0.84</v>
      </c>
      <c r="K46" s="213">
        <f>70*60/100</f>
        <v>42</v>
      </c>
      <c r="L46" s="77">
        <f>0.9*60/100</f>
        <v>0.54</v>
      </c>
      <c r="M46" s="77">
        <f>12*60/100</f>
        <v>7.2</v>
      </c>
      <c r="N46" s="213">
        <f>1200*60/100</f>
        <v>720</v>
      </c>
      <c r="O46" s="213">
        <f>1800*60/100</f>
        <v>1080</v>
      </c>
      <c r="P46" s="77">
        <f>300*60/100</f>
        <v>180</v>
      </c>
      <c r="Q46" s="77">
        <f>17*60/100</f>
        <v>10.199999999999999</v>
      </c>
      <c r="R46" s="212">
        <f>1.6*60/100</f>
        <v>0.96</v>
      </c>
      <c r="S46" s="212">
        <f>120*60/100</f>
        <v>72</v>
      </c>
    </row>
    <row r="47" spans="1:19" ht="15" x14ac:dyDescent="0.25">
      <c r="A47" s="211" t="s">
        <v>98</v>
      </c>
      <c r="B47" s="211"/>
      <c r="C47" s="77">
        <f>C44/C44</f>
        <v>1</v>
      </c>
      <c r="D47" s="77"/>
      <c r="E47" s="77">
        <f>E44/C44</f>
        <v>0.97559396243182561</v>
      </c>
      <c r="F47" s="77"/>
      <c r="G47" s="77">
        <f>G44/C44</f>
        <v>3.500559485652512</v>
      </c>
      <c r="H47" s="77"/>
      <c r="I47" s="213"/>
      <c r="J47" s="77"/>
      <c r="K47" s="213"/>
      <c r="L47" s="77"/>
      <c r="M47" s="77"/>
      <c r="N47" s="213">
        <f>N44/N44</f>
        <v>1</v>
      </c>
      <c r="O47" s="76">
        <f>O44/N44</f>
        <v>1.3298171583749623</v>
      </c>
      <c r="P47" s="77"/>
      <c r="Q47" s="77"/>
    </row>
    <row r="48" spans="1:19" x14ac:dyDescent="0.2">
      <c r="A48" s="211" t="s">
        <v>102</v>
      </c>
      <c r="B48" s="211"/>
      <c r="C48" s="213">
        <f t="shared" ref="C48:H48" si="8">(C10+C21+C32+C43)/24</f>
        <v>59.844791666666673</v>
      </c>
      <c r="D48" s="213">
        <f t="shared" si="8"/>
        <v>0</v>
      </c>
      <c r="E48" s="213">
        <f t="shared" si="8"/>
        <v>57.937854166666661</v>
      </c>
      <c r="F48" s="213">
        <f t="shared" si="8"/>
        <v>0</v>
      </c>
      <c r="G48" s="213">
        <f t="shared" si="8"/>
        <v>223.00820833333333</v>
      </c>
      <c r="H48" s="213">
        <f t="shared" si="8"/>
        <v>0</v>
      </c>
      <c r="I48" s="213">
        <f>(I10+I21+I32+I43)/24</f>
        <v>1639.5353333333335</v>
      </c>
      <c r="J48" s="213">
        <f t="shared" ref="J48:S48" si="9">(J10+J21+J32+J43)/24</f>
        <v>1.3234833333333336</v>
      </c>
      <c r="K48" s="213">
        <f t="shared" si="9"/>
        <v>105.09162500000001</v>
      </c>
      <c r="L48" s="213">
        <f t="shared" si="9"/>
        <v>1.1895895000000001</v>
      </c>
      <c r="M48" s="213">
        <f t="shared" si="9"/>
        <v>6.5550416666666678</v>
      </c>
      <c r="N48" s="213">
        <f t="shared" si="9"/>
        <v>598.47058333333337</v>
      </c>
      <c r="O48" s="213">
        <f t="shared" si="9"/>
        <v>769.51687499999991</v>
      </c>
      <c r="P48" s="213">
        <f t="shared" si="9"/>
        <v>216.03314583333335</v>
      </c>
      <c r="Q48" s="213">
        <f t="shared" si="9"/>
        <v>11.951425</v>
      </c>
      <c r="R48" s="213">
        <f t="shared" si="9"/>
        <v>1.2137457291666667</v>
      </c>
      <c r="S48" s="213">
        <f t="shared" si="9"/>
        <v>43.143812499999996</v>
      </c>
    </row>
    <row r="49" spans="1:19" ht="15" x14ac:dyDescent="0.25">
      <c r="A49" s="211"/>
      <c r="B49" s="211"/>
      <c r="C49" s="77">
        <f>C48/24</f>
        <v>2.4935329861111115</v>
      </c>
      <c r="D49" s="77"/>
      <c r="E49" s="75">
        <f t="shared" ref="E49:S49" si="10">E48/24</f>
        <v>2.4140772569444442</v>
      </c>
      <c r="F49" s="75"/>
      <c r="G49" s="75">
        <f t="shared" si="10"/>
        <v>9.292008680555556</v>
      </c>
      <c r="H49" s="75"/>
      <c r="I49" s="213">
        <f>I48/24</f>
        <v>68.313972222222233</v>
      </c>
      <c r="J49" s="75">
        <f t="shared" si="10"/>
        <v>5.5145138888888896E-2</v>
      </c>
      <c r="K49" s="213">
        <f t="shared" si="10"/>
        <v>4.3788177083333339</v>
      </c>
      <c r="L49" s="75">
        <f t="shared" si="10"/>
        <v>4.956622916666667E-2</v>
      </c>
      <c r="M49" s="77">
        <f t="shared" si="10"/>
        <v>0.27312673611111116</v>
      </c>
      <c r="N49" s="76">
        <f t="shared" si="10"/>
        <v>24.936274305555557</v>
      </c>
      <c r="O49" s="76">
        <f t="shared" si="10"/>
        <v>32.063203124999994</v>
      </c>
      <c r="P49" s="75">
        <f t="shared" si="10"/>
        <v>9.0013810763888902</v>
      </c>
      <c r="Q49" s="75">
        <f t="shared" si="10"/>
        <v>0.4979760416666667</v>
      </c>
      <c r="R49" s="75">
        <f t="shared" si="10"/>
        <v>5.057273871527778E-2</v>
      </c>
      <c r="S49" s="75">
        <f t="shared" si="10"/>
        <v>1.7976588541666665</v>
      </c>
    </row>
    <row r="50" spans="1:19" x14ac:dyDescent="0.2">
      <c r="A50" s="211" t="s">
        <v>96</v>
      </c>
      <c r="B50" s="211"/>
      <c r="C50" s="77">
        <f>90*70/100</f>
        <v>63</v>
      </c>
      <c r="D50" s="77"/>
      <c r="E50" s="77">
        <f>92*70/100</f>
        <v>64.400000000000006</v>
      </c>
      <c r="F50" s="77"/>
      <c r="G50" s="77">
        <f>383*70/100</f>
        <v>268.10000000000002</v>
      </c>
      <c r="H50" s="77"/>
      <c r="I50" s="213">
        <f>2713*70/100</f>
        <v>1899.1</v>
      </c>
      <c r="J50" s="77">
        <f>1.4*70/100</f>
        <v>0.98</v>
      </c>
      <c r="K50" s="213">
        <f>70*70/100</f>
        <v>49</v>
      </c>
      <c r="L50" s="77">
        <f>0.9*70/100</f>
        <v>0.63</v>
      </c>
      <c r="M50" s="77">
        <f>12*70/100</f>
        <v>8.4</v>
      </c>
      <c r="N50" s="213">
        <f>1200*70/100</f>
        <v>840</v>
      </c>
      <c r="O50" s="213">
        <f>1800*70/100</f>
        <v>1260</v>
      </c>
      <c r="P50" s="77">
        <f>300*70/100</f>
        <v>210</v>
      </c>
      <c r="Q50" s="77">
        <f>17*70/100</f>
        <v>11.9</v>
      </c>
      <c r="R50" s="212">
        <f>1.6*70/100</f>
        <v>1.1200000000000001</v>
      </c>
      <c r="S50" s="212">
        <f>120*70/100</f>
        <v>84</v>
      </c>
    </row>
    <row r="51" spans="1:19" x14ac:dyDescent="0.2">
      <c r="A51" s="211" t="s">
        <v>97</v>
      </c>
      <c r="B51" s="211"/>
      <c r="C51" s="77">
        <f>90*60/100</f>
        <v>54</v>
      </c>
      <c r="D51" s="77"/>
      <c r="E51" s="77">
        <f>92*60/100</f>
        <v>55.2</v>
      </c>
      <c r="F51" s="77"/>
      <c r="G51" s="77">
        <f>383*60/100</f>
        <v>229.8</v>
      </c>
      <c r="H51" s="77"/>
      <c r="I51" s="213">
        <f>2713*60/100</f>
        <v>1627.8</v>
      </c>
      <c r="J51" s="77">
        <f>1.4*60/100</f>
        <v>0.84</v>
      </c>
      <c r="K51" s="213">
        <f>70*60/100</f>
        <v>42</v>
      </c>
      <c r="L51" s="77">
        <f>0.9*60/100</f>
        <v>0.54</v>
      </c>
      <c r="M51" s="77">
        <f>12*60/100</f>
        <v>7.2</v>
      </c>
      <c r="N51" s="213">
        <f>1200*60/100</f>
        <v>720</v>
      </c>
      <c r="O51" s="213">
        <f>1800*60/100</f>
        <v>1080</v>
      </c>
      <c r="P51" s="77">
        <f>300*60/100</f>
        <v>180</v>
      </c>
      <c r="Q51" s="77">
        <f>17*60/100</f>
        <v>10.199999999999999</v>
      </c>
      <c r="R51" s="212">
        <f>1.6*60/100</f>
        <v>0.96</v>
      </c>
      <c r="S51" s="212">
        <f>120*60/100</f>
        <v>72</v>
      </c>
    </row>
    <row r="52" spans="1:19" ht="15" x14ac:dyDescent="0.25">
      <c r="A52" s="211" t="s">
        <v>98</v>
      </c>
      <c r="B52" s="211"/>
      <c r="C52" s="77">
        <f>C48/C48</f>
        <v>1</v>
      </c>
      <c r="D52" s="77"/>
      <c r="E52" s="77">
        <f>E48/C48</f>
        <v>0.96813528049990405</v>
      </c>
      <c r="F52" s="77"/>
      <c r="G52" s="77">
        <f>G48/C48</f>
        <v>3.7264430558214823</v>
      </c>
      <c r="H52" s="77"/>
      <c r="I52" s="213"/>
      <c r="J52" s="77"/>
      <c r="K52" s="213"/>
      <c r="L52" s="77"/>
      <c r="M52" s="77"/>
      <c r="N52" s="213">
        <f>N49/N49</f>
        <v>1</v>
      </c>
      <c r="O52" s="76">
        <f>O49/N49</f>
        <v>1.2858056793935984</v>
      </c>
      <c r="P52" s="77"/>
      <c r="Q52" s="77"/>
    </row>
  </sheetData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6"/>
  <sheetViews>
    <sheetView topLeftCell="A31" workbookViewId="0">
      <selection sqref="A1:S56"/>
    </sheetView>
  </sheetViews>
  <sheetFormatPr defaultRowHeight="12.75" x14ac:dyDescent="0.2"/>
  <cols>
    <col min="1" max="1" width="9.140625" style="142"/>
    <col min="2" max="2" width="13.5703125" style="142" customWidth="1"/>
    <col min="3" max="3" width="8.5703125" style="203" customWidth="1"/>
    <col min="4" max="4" width="8.5703125" style="203" hidden="1" customWidth="1"/>
    <col min="5" max="5" width="8.140625" style="203" bestFit="1" customWidth="1"/>
    <col min="6" max="6" width="8.140625" style="203" hidden="1" customWidth="1"/>
    <col min="7" max="7" width="9.85546875" style="203" bestFit="1" customWidth="1"/>
    <col min="8" max="8" width="9.85546875" style="203" hidden="1" customWidth="1"/>
    <col min="9" max="9" width="9.140625" style="204" bestFit="1" customWidth="1"/>
    <col min="10" max="10" width="7.5703125" style="203" bestFit="1" customWidth="1"/>
    <col min="11" max="11" width="8.5703125" style="204" bestFit="1" customWidth="1"/>
    <col min="12" max="12" width="8.5703125" style="203" bestFit="1" customWidth="1"/>
    <col min="13" max="13" width="7.140625" style="203" bestFit="1" customWidth="1"/>
    <col min="14" max="14" width="8.140625" style="204" bestFit="1" customWidth="1"/>
    <col min="15" max="15" width="9.140625" style="204" bestFit="1" customWidth="1"/>
    <col min="16" max="16" width="8.140625" style="203" bestFit="1" customWidth="1"/>
    <col min="17" max="17" width="9.28515625" style="203" bestFit="1" customWidth="1"/>
    <col min="18" max="18" width="7.42578125" style="203" customWidth="1"/>
    <col min="19" max="19" width="7.28515625" style="205" customWidth="1"/>
  </cols>
  <sheetData>
    <row r="2" spans="1:19" ht="15" x14ac:dyDescent="0.25">
      <c r="A2" s="202" t="s">
        <v>103</v>
      </c>
    </row>
    <row r="3" spans="1:19" ht="15" x14ac:dyDescent="0.25">
      <c r="A3" s="206" t="s">
        <v>85</v>
      </c>
      <c r="B3" s="206" t="s">
        <v>86</v>
      </c>
      <c r="C3" s="207" t="s">
        <v>87</v>
      </c>
      <c r="D3" s="207"/>
      <c r="E3" s="207" t="s">
        <v>88</v>
      </c>
      <c r="F3" s="207"/>
      <c r="G3" s="207" t="s">
        <v>89</v>
      </c>
      <c r="H3" s="207"/>
      <c r="I3" s="208" t="s">
        <v>9</v>
      </c>
      <c r="J3" s="207" t="s">
        <v>90</v>
      </c>
      <c r="K3" s="208" t="s">
        <v>24</v>
      </c>
      <c r="L3" s="207" t="s">
        <v>25</v>
      </c>
      <c r="M3" s="207" t="s">
        <v>91</v>
      </c>
      <c r="N3" s="208" t="s">
        <v>27</v>
      </c>
      <c r="O3" s="208" t="s">
        <v>92</v>
      </c>
      <c r="P3" s="207" t="s">
        <v>29</v>
      </c>
      <c r="Q3" s="207" t="s">
        <v>30</v>
      </c>
      <c r="R3" s="209" t="s">
        <v>106</v>
      </c>
      <c r="S3" s="210" t="s">
        <v>107</v>
      </c>
    </row>
    <row r="4" spans="1:19" x14ac:dyDescent="0.2">
      <c r="A4" s="211" t="s">
        <v>93</v>
      </c>
      <c r="B4" s="211">
        <v>1</v>
      </c>
      <c r="C4" s="212">
        <f>'Комплекс 2'!D31</f>
        <v>69.076499999999996</v>
      </c>
      <c r="D4" s="212" t="e">
        <f>'Комплекс 2'!#REF!</f>
        <v>#REF!</v>
      </c>
      <c r="E4" s="212">
        <f>'Комплекс 2'!E31</f>
        <v>57.746499999999997</v>
      </c>
      <c r="F4" s="212" t="e">
        <f>'Комплекс 2'!#REF!</f>
        <v>#REF!</v>
      </c>
      <c r="G4" s="212">
        <f>'Комплекс 2'!F31</f>
        <v>258.178</v>
      </c>
      <c r="H4" s="212" t="e">
        <f>'Комплекс 2'!#REF!</f>
        <v>#REF!</v>
      </c>
      <c r="I4" s="212">
        <f>'Комплекс 2'!G31</f>
        <v>1882.8050000000001</v>
      </c>
      <c r="J4" s="212">
        <f>'Комплекс 2'!H31</f>
        <v>1.7240000000000002</v>
      </c>
      <c r="K4" s="212">
        <f>'Комплекс 2'!I31</f>
        <v>55.775999999999996</v>
      </c>
      <c r="L4" s="212">
        <f>'Комплекс 2'!J31</f>
        <v>0.27200000000000002</v>
      </c>
      <c r="M4" s="212">
        <f>'Комплекс 2'!K31</f>
        <v>4.3929999999999998</v>
      </c>
      <c r="N4" s="212">
        <f>'Комплекс 2'!L31</f>
        <v>791.27500000000009</v>
      </c>
      <c r="O4" s="212">
        <f>'Комплекс 2'!M31</f>
        <v>969.21500000000003</v>
      </c>
      <c r="P4" s="212">
        <f>'Комплекс 2'!N31</f>
        <v>224.57550000000003</v>
      </c>
      <c r="Q4" s="212">
        <f>'Комплекс 2'!O31</f>
        <v>8.2832000000000008</v>
      </c>
      <c r="R4" s="212">
        <f>'Комплекс 2'!P31</f>
        <v>0.87749750000000004</v>
      </c>
      <c r="S4" s="212">
        <f>'Комплекс 2'!Q31</f>
        <v>97.146000000000001</v>
      </c>
    </row>
    <row r="5" spans="1:19" x14ac:dyDescent="0.2">
      <c r="A5" s="211"/>
      <c r="B5" s="211">
        <v>2</v>
      </c>
      <c r="C5" s="77">
        <f>'Комплекс 2'!D57</f>
        <v>66.499999999999986</v>
      </c>
      <c r="D5" s="77" t="e">
        <f>'Комплекс 2'!#REF!</f>
        <v>#REF!</v>
      </c>
      <c r="E5" s="77">
        <f>'Комплекс 2'!E57</f>
        <v>55.522499999999987</v>
      </c>
      <c r="F5" s="77" t="e">
        <f>'Комплекс 2'!#REF!</f>
        <v>#REF!</v>
      </c>
      <c r="G5" s="77">
        <f>'Комплекс 2'!F57</f>
        <v>213.26500000000001</v>
      </c>
      <c r="H5" s="77" t="e">
        <f>'Комплекс 2'!#REF!</f>
        <v>#REF!</v>
      </c>
      <c r="I5" s="77">
        <f>'Комплекс 2'!G57</f>
        <v>1626.373</v>
      </c>
      <c r="J5" s="77">
        <f>'Комплекс 2'!H57</f>
        <v>1.266</v>
      </c>
      <c r="K5" s="77">
        <f>'Комплекс 2'!I57</f>
        <v>84.090999999999994</v>
      </c>
      <c r="L5" s="77">
        <f>'Комплекс 2'!J57</f>
        <v>4.3529999999999989</v>
      </c>
      <c r="M5" s="77">
        <f>'Комплекс 2'!K57</f>
        <v>6.346000000000001</v>
      </c>
      <c r="N5" s="77">
        <f>'Комплекс 2'!L57</f>
        <v>590.43000000000006</v>
      </c>
      <c r="O5" s="77">
        <f>'Комплекс 2'!M57</f>
        <v>999.11699999999985</v>
      </c>
      <c r="P5" s="77">
        <f>'Комплекс 2'!N57</f>
        <v>285.18</v>
      </c>
      <c r="Q5" s="77">
        <f>'Комплекс 2'!O57</f>
        <v>14.181999999999999</v>
      </c>
      <c r="R5" s="77">
        <f>'Комплекс 2'!P57</f>
        <v>2.3015000000000003</v>
      </c>
      <c r="S5" s="77">
        <f>'Комплекс 2'!Q57</f>
        <v>31.750000000000007</v>
      </c>
    </row>
    <row r="6" spans="1:19" x14ac:dyDescent="0.2">
      <c r="A6" s="211"/>
      <c r="B6" s="211">
        <v>3</v>
      </c>
      <c r="C6" s="77">
        <f>'Комплекс 2'!D82</f>
        <v>67.675999999999988</v>
      </c>
      <c r="D6" s="77" t="e">
        <f>'Комплекс 2'!#REF!</f>
        <v>#REF!</v>
      </c>
      <c r="E6" s="77">
        <f>'Комплекс 2'!E82</f>
        <v>47.418999999999997</v>
      </c>
      <c r="F6" s="77" t="e">
        <f>'Комплекс 2'!#REF!</f>
        <v>#REF!</v>
      </c>
      <c r="G6" s="77">
        <f>'Комплекс 2'!F82</f>
        <v>206.04300000000001</v>
      </c>
      <c r="H6" s="77" t="e">
        <f>'Комплекс 2'!#REF!</f>
        <v>#REF!</v>
      </c>
      <c r="I6" s="77">
        <f>'Комплекс 2'!G82</f>
        <v>1524.0630000000001</v>
      </c>
      <c r="J6" s="77">
        <f>'Комплекс 2'!H82</f>
        <v>1.7610000000000003</v>
      </c>
      <c r="K6" s="77">
        <f>'Комплекс 2'!I82</f>
        <v>70.492000000000004</v>
      </c>
      <c r="L6" s="77">
        <f>'Комплекс 2'!J82</f>
        <v>0.311</v>
      </c>
      <c r="M6" s="77">
        <f>'Комплекс 2'!K82</f>
        <v>9.5380000000000003</v>
      </c>
      <c r="N6" s="77">
        <f>'Комплекс 2'!L82</f>
        <v>592.40200000000004</v>
      </c>
      <c r="O6" s="77">
        <f>'Комплекс 2'!M82</f>
        <v>781.95999999999992</v>
      </c>
      <c r="P6" s="77">
        <f>'Комплекс 2'!N82</f>
        <v>192.52100000000002</v>
      </c>
      <c r="Q6" s="77">
        <f>'Комплекс 2'!O82</f>
        <v>15.300199999999998</v>
      </c>
      <c r="R6" s="77">
        <f>'Комплекс 2'!P82</f>
        <v>1.5649999999999999</v>
      </c>
      <c r="S6" s="77">
        <f>'Комплекс 2'!Q82</f>
        <v>30.290000000000003</v>
      </c>
    </row>
    <row r="7" spans="1:19" x14ac:dyDescent="0.2">
      <c r="A7" s="211"/>
      <c r="B7" s="211">
        <v>4</v>
      </c>
      <c r="C7" s="77">
        <f>'Комплекс 2'!D106</f>
        <v>45.972499999999997</v>
      </c>
      <c r="D7" s="77" t="e">
        <f>'Комплекс 2'!#REF!</f>
        <v>#REF!</v>
      </c>
      <c r="E7" s="77">
        <f>'Комплекс 2'!E106</f>
        <v>52.048499999999997</v>
      </c>
      <c r="F7" s="77" t="e">
        <f>'Комплекс 2'!#REF!</f>
        <v>#REF!</v>
      </c>
      <c r="G7" s="77">
        <f>'Комплекс 2'!F106</f>
        <v>253.21</v>
      </c>
      <c r="H7" s="77" t="e">
        <f>'Комплекс 2'!#REF!</f>
        <v>#REF!</v>
      </c>
      <c r="I7" s="77">
        <f>'Комплекс 2'!G106</f>
        <v>1637.6579999999999</v>
      </c>
      <c r="J7" s="77">
        <f>'Комплекс 2'!H106</f>
        <v>1.25</v>
      </c>
      <c r="K7" s="77">
        <f>'Комплекс 2'!I106</f>
        <v>196.08100000000002</v>
      </c>
      <c r="L7" s="77">
        <f>'Комплекс 2'!J106</f>
        <v>2.2610000000000001</v>
      </c>
      <c r="M7" s="77">
        <f>'Комплекс 2'!K106</f>
        <v>7.3550000000000004</v>
      </c>
      <c r="N7" s="77">
        <f>'Комплекс 2'!L106</f>
        <v>376.74600000000004</v>
      </c>
      <c r="O7" s="77">
        <f>'Комплекс 2'!M106</f>
        <v>708.726</v>
      </c>
      <c r="P7" s="77">
        <f>'Комплекс 2'!N106</f>
        <v>248.18900000000002</v>
      </c>
      <c r="Q7" s="77">
        <f>'Комплекс 2'!O106</f>
        <v>12.479200000000001</v>
      </c>
      <c r="R7" s="77">
        <f>'Комплекс 2'!P106</f>
        <v>0.89900000000000002</v>
      </c>
      <c r="S7" s="77">
        <f>'Комплекс 2'!Q106</f>
        <v>68.03</v>
      </c>
    </row>
    <row r="8" spans="1:19" x14ac:dyDescent="0.2">
      <c r="A8" s="211"/>
      <c r="B8" s="211">
        <v>5</v>
      </c>
      <c r="C8" s="77">
        <f>'Комплекс 2'!D129</f>
        <v>56.118499999999997</v>
      </c>
      <c r="D8" s="77" t="e">
        <f>'Комплекс 2'!#REF!</f>
        <v>#REF!</v>
      </c>
      <c r="E8" s="77">
        <f>'Комплекс 2'!E129</f>
        <v>60.952500000000001</v>
      </c>
      <c r="F8" s="77" t="e">
        <f>'Комплекс 2'!#REF!</f>
        <v>#REF!</v>
      </c>
      <c r="G8" s="77">
        <f>'Комплекс 2'!F129</f>
        <v>253.178</v>
      </c>
      <c r="H8" s="77" t="e">
        <f>'Комплекс 2'!#REF!</f>
        <v>#REF!</v>
      </c>
      <c r="I8" s="77">
        <f>'Комплекс 2'!G129</f>
        <v>1767.876</v>
      </c>
      <c r="J8" s="77">
        <f>'Комплекс 2'!H129</f>
        <v>1.3092000000000001</v>
      </c>
      <c r="K8" s="77">
        <f>'Комплекс 2'!I129</f>
        <v>81.667000000000002</v>
      </c>
      <c r="L8" s="77">
        <f>'Комплекс 2'!J129</f>
        <v>2.2269999999999999</v>
      </c>
      <c r="M8" s="77">
        <f>'Комплекс 2'!K129</f>
        <v>3.9740000000000002</v>
      </c>
      <c r="N8" s="77">
        <f>'Комплекс 2'!L129</f>
        <v>448.17900000000009</v>
      </c>
      <c r="O8" s="77">
        <f>'Комплекс 2'!M129</f>
        <v>662.60700000000008</v>
      </c>
      <c r="P8" s="77">
        <f>'Комплекс 2'!N129</f>
        <v>195.08</v>
      </c>
      <c r="Q8" s="77">
        <f>'Комплекс 2'!O129</f>
        <v>13.651999999999997</v>
      </c>
      <c r="R8" s="77">
        <f>'Комплекс 2'!P129</f>
        <v>1.0227000000000002</v>
      </c>
      <c r="S8" s="77">
        <f>'Комплекс 2'!Q129</f>
        <v>62.255000000000003</v>
      </c>
    </row>
    <row r="9" spans="1:19" x14ac:dyDescent="0.2">
      <c r="A9" s="211"/>
      <c r="B9" s="211">
        <v>6</v>
      </c>
      <c r="C9" s="77">
        <f>'Комплекс 2'!D154</f>
        <v>73.010000000000005</v>
      </c>
      <c r="D9" s="77" t="e">
        <f>'Комплекс 2'!#REF!</f>
        <v>#REF!</v>
      </c>
      <c r="E9" s="77">
        <f>'Комплекс 2'!E154</f>
        <v>63.029500000000006</v>
      </c>
      <c r="F9" s="77" t="e">
        <f>'Комплекс 2'!#REF!</f>
        <v>#REF!</v>
      </c>
      <c r="G9" s="77">
        <f>'Комплекс 2'!F154</f>
        <v>205.26999999999998</v>
      </c>
      <c r="H9" s="77" t="e">
        <f>'Комплекс 2'!#REF!</f>
        <v>#REF!</v>
      </c>
      <c r="I9" s="77">
        <f>'Комплекс 2'!G154</f>
        <v>1604.04</v>
      </c>
      <c r="J9" s="77">
        <f>'Комплекс 2'!H154</f>
        <v>1.1910000000000001</v>
      </c>
      <c r="K9" s="77">
        <f>'Комплекс 2'!I154</f>
        <v>227.36600000000001</v>
      </c>
      <c r="L9" s="77">
        <f>'Комплекс 2'!J154</f>
        <v>0.29300000000000004</v>
      </c>
      <c r="M9" s="77">
        <f>'Комплекс 2'!K154</f>
        <v>3.2949999999999999</v>
      </c>
      <c r="N9" s="77">
        <f>'Комплекс 2'!L154</f>
        <v>766.73599999999999</v>
      </c>
      <c r="O9" s="77">
        <f>'Комплекс 2'!M154</f>
        <v>1065.741</v>
      </c>
      <c r="P9" s="77">
        <f>'Комплекс 2'!N154</f>
        <v>347.4</v>
      </c>
      <c r="Q9" s="77">
        <f>'Комплекс 2'!O154</f>
        <v>16.580000000000002</v>
      </c>
      <c r="R9" s="77">
        <f>'Комплекс 2'!P154</f>
        <v>1.4215000000000002</v>
      </c>
      <c r="S9" s="77">
        <f>'Комплекс 2'!Q154</f>
        <v>59.120000000000005</v>
      </c>
    </row>
    <row r="10" spans="1:19" x14ac:dyDescent="0.2">
      <c r="A10" s="211" t="s">
        <v>94</v>
      </c>
      <c r="B10" s="211"/>
      <c r="C10" s="77">
        <f>SUM(C4:C9)</f>
        <v>378.35349999999994</v>
      </c>
      <c r="D10" s="77"/>
      <c r="E10" s="77">
        <f t="shared" ref="E10:S10" si="0">SUM(E4:E9)</f>
        <v>336.71849999999995</v>
      </c>
      <c r="F10" s="77"/>
      <c r="G10" s="77">
        <f t="shared" si="0"/>
        <v>1389.144</v>
      </c>
      <c r="H10" s="77"/>
      <c r="I10" s="213">
        <f t="shared" si="0"/>
        <v>10042.814999999999</v>
      </c>
      <c r="J10" s="77">
        <f t="shared" si="0"/>
        <v>8.5012000000000008</v>
      </c>
      <c r="K10" s="213">
        <f t="shared" si="0"/>
        <v>715.47299999999996</v>
      </c>
      <c r="L10" s="77">
        <f t="shared" si="0"/>
        <v>9.7169999999999987</v>
      </c>
      <c r="M10" s="77">
        <f t="shared" si="0"/>
        <v>34.901000000000003</v>
      </c>
      <c r="N10" s="213">
        <f t="shared" si="0"/>
        <v>3565.768</v>
      </c>
      <c r="O10" s="213">
        <f t="shared" si="0"/>
        <v>5187.366</v>
      </c>
      <c r="P10" s="77">
        <f t="shared" si="0"/>
        <v>1492.9454999999998</v>
      </c>
      <c r="Q10" s="77">
        <f t="shared" si="0"/>
        <v>80.476599999999991</v>
      </c>
      <c r="R10" s="77">
        <f t="shared" si="0"/>
        <v>8.087197500000002</v>
      </c>
      <c r="S10" s="214">
        <f t="shared" si="0"/>
        <v>348.59100000000001</v>
      </c>
    </row>
    <row r="11" spans="1:19" ht="15" x14ac:dyDescent="0.25">
      <c r="A11" s="211" t="s">
        <v>95</v>
      </c>
      <c r="B11" s="211"/>
      <c r="C11" s="75">
        <f>C10/6</f>
        <v>63.058916666666654</v>
      </c>
      <c r="D11" s="75"/>
      <c r="E11" s="77">
        <f t="shared" ref="E11:S11" si="1">E10/6</f>
        <v>56.119749999999989</v>
      </c>
      <c r="F11" s="77"/>
      <c r="G11" s="75">
        <f t="shared" si="1"/>
        <v>231.524</v>
      </c>
      <c r="H11" s="75"/>
      <c r="I11" s="76">
        <f t="shared" si="1"/>
        <v>1673.8024999999998</v>
      </c>
      <c r="J11" s="77">
        <f t="shared" si="1"/>
        <v>1.4168666666666667</v>
      </c>
      <c r="K11" s="213">
        <f t="shared" si="1"/>
        <v>119.24549999999999</v>
      </c>
      <c r="L11" s="75">
        <f t="shared" si="1"/>
        <v>1.6194999999999997</v>
      </c>
      <c r="M11" s="75">
        <f t="shared" si="1"/>
        <v>5.8168333333333342</v>
      </c>
      <c r="N11" s="76">
        <f t="shared" si="1"/>
        <v>594.29466666666667</v>
      </c>
      <c r="O11" s="76">
        <f t="shared" si="1"/>
        <v>864.56100000000004</v>
      </c>
      <c r="P11" s="75">
        <f t="shared" si="1"/>
        <v>248.82424999999998</v>
      </c>
      <c r="Q11" s="75">
        <f t="shared" si="1"/>
        <v>13.412766666666665</v>
      </c>
      <c r="R11" s="75">
        <f t="shared" si="1"/>
        <v>1.3478662500000003</v>
      </c>
      <c r="S11" s="215">
        <f t="shared" si="1"/>
        <v>58.098500000000001</v>
      </c>
    </row>
    <row r="12" spans="1:19" hidden="1" x14ac:dyDescent="0.2">
      <c r="A12" s="211" t="s">
        <v>104</v>
      </c>
      <c r="B12" s="211"/>
      <c r="C12" s="77">
        <f>77*60/100</f>
        <v>46.2</v>
      </c>
      <c r="D12" s="77"/>
      <c r="E12" s="77">
        <f>79*60/100</f>
        <v>47.4</v>
      </c>
      <c r="F12" s="77"/>
      <c r="G12" s="77">
        <f>335*60/100</f>
        <v>201</v>
      </c>
      <c r="H12" s="77"/>
      <c r="I12" s="213">
        <f>2350*60/100</f>
        <v>1410</v>
      </c>
      <c r="J12" s="77">
        <f>1.2*60/100</f>
        <v>0.72</v>
      </c>
      <c r="K12" s="213">
        <f>60*60/100</f>
        <v>36</v>
      </c>
      <c r="L12" s="77">
        <f>0.7*60/100</f>
        <v>0.42</v>
      </c>
      <c r="M12" s="77">
        <f>10*60/100</f>
        <v>6</v>
      </c>
      <c r="N12" s="213">
        <f>1100*60/100</f>
        <v>660</v>
      </c>
      <c r="O12" s="213">
        <f>1650*60/100</f>
        <v>990</v>
      </c>
      <c r="P12" s="77">
        <f>250*60/100</f>
        <v>150</v>
      </c>
      <c r="Q12" s="77">
        <f>12*60/100</f>
        <v>7.2</v>
      </c>
    </row>
    <row r="13" spans="1:19" x14ac:dyDescent="0.2">
      <c r="A13" s="211" t="s">
        <v>96</v>
      </c>
      <c r="B13" s="211"/>
      <c r="C13" s="77">
        <f>90*70/100</f>
        <v>63</v>
      </c>
      <c r="D13" s="77"/>
      <c r="E13" s="77">
        <f>92*70/100</f>
        <v>64.400000000000006</v>
      </c>
      <c r="F13" s="77"/>
      <c r="G13" s="77">
        <f>383*70/100</f>
        <v>268.10000000000002</v>
      </c>
      <c r="H13" s="77"/>
      <c r="I13" s="213">
        <f>2713*70/100</f>
        <v>1899.1</v>
      </c>
      <c r="J13" s="77">
        <f>1.4*70/100</f>
        <v>0.98</v>
      </c>
      <c r="K13" s="213">
        <f>70*70/100</f>
        <v>49</v>
      </c>
      <c r="L13" s="77">
        <f>0.9*70/100</f>
        <v>0.63</v>
      </c>
      <c r="M13" s="77">
        <f>12*70/100</f>
        <v>8.4</v>
      </c>
      <c r="N13" s="213">
        <f>1200*70/100</f>
        <v>840</v>
      </c>
      <c r="O13" s="213">
        <f>1800*70/100</f>
        <v>1260</v>
      </c>
      <c r="P13" s="77">
        <f>300*70/100</f>
        <v>210</v>
      </c>
      <c r="Q13" s="77">
        <f>17*70/100</f>
        <v>11.9</v>
      </c>
      <c r="R13" s="212">
        <f>1.6*70/100</f>
        <v>1.1200000000000001</v>
      </c>
      <c r="S13" s="212">
        <f>120*70/100</f>
        <v>84</v>
      </c>
    </row>
    <row r="14" spans="1:19" x14ac:dyDescent="0.2">
      <c r="A14" s="211" t="s">
        <v>97</v>
      </c>
      <c r="B14" s="211"/>
      <c r="C14" s="77">
        <f>90*60/100</f>
        <v>54</v>
      </c>
      <c r="D14" s="77"/>
      <c r="E14" s="77">
        <f>92*60/100</f>
        <v>55.2</v>
      </c>
      <c r="F14" s="77"/>
      <c r="G14" s="77">
        <f>383*60/100</f>
        <v>229.8</v>
      </c>
      <c r="H14" s="77"/>
      <c r="I14" s="213">
        <f>2713*60/100</f>
        <v>1627.8</v>
      </c>
      <c r="J14" s="77">
        <f>1.4*60/100</f>
        <v>0.84</v>
      </c>
      <c r="K14" s="213">
        <f>70*60/100</f>
        <v>42</v>
      </c>
      <c r="L14" s="77">
        <f>0.9*60/100</f>
        <v>0.54</v>
      </c>
      <c r="M14" s="77">
        <f>12*60/100</f>
        <v>7.2</v>
      </c>
      <c r="N14" s="213">
        <f>1200*60/100</f>
        <v>720</v>
      </c>
      <c r="O14" s="213">
        <f>1800*60/100</f>
        <v>1080</v>
      </c>
      <c r="P14" s="77">
        <f>300*60/100</f>
        <v>180</v>
      </c>
      <c r="Q14" s="77">
        <f>17*60/100</f>
        <v>10.199999999999999</v>
      </c>
      <c r="R14" s="212">
        <f>1.6*60/100</f>
        <v>0.96</v>
      </c>
      <c r="S14" s="212">
        <f>120*60/100</f>
        <v>72</v>
      </c>
    </row>
    <row r="15" spans="1:19" ht="15" x14ac:dyDescent="0.25">
      <c r="A15" s="211" t="s">
        <v>98</v>
      </c>
      <c r="B15" s="211"/>
      <c r="C15" s="77">
        <f>C11/C11</f>
        <v>1</v>
      </c>
      <c r="D15" s="77"/>
      <c r="E15" s="77">
        <f>E11/C11</f>
        <v>0.88995740755668973</v>
      </c>
      <c r="F15" s="77"/>
      <c r="G15" s="77">
        <f>G11/C11</f>
        <v>3.6715505473056291</v>
      </c>
      <c r="H15" s="77"/>
      <c r="I15" s="213"/>
      <c r="J15" s="77"/>
      <c r="K15" s="213"/>
      <c r="L15" s="77"/>
      <c r="M15" s="77"/>
      <c r="N15" s="213">
        <f>N11/N11</f>
        <v>1</v>
      </c>
      <c r="O15" s="76">
        <f>O11/N11</f>
        <v>1.4547682294529538</v>
      </c>
      <c r="P15" s="77"/>
      <c r="Q15" s="77"/>
    </row>
    <row r="16" spans="1:19" x14ac:dyDescent="0.2">
      <c r="A16" s="211" t="s">
        <v>99</v>
      </c>
      <c r="B16" s="211">
        <v>7</v>
      </c>
      <c r="C16" s="212">
        <f>'Комплекс 2'!D178</f>
        <v>48.467500000000001</v>
      </c>
      <c r="D16" s="212" t="e">
        <f>'Комплекс 2'!#REF!</f>
        <v>#REF!</v>
      </c>
      <c r="E16" s="212">
        <f>'Комплекс 2'!E178</f>
        <v>62.698499999999996</v>
      </c>
      <c r="F16" s="212" t="e">
        <f>'Комплекс 2'!#REF!</f>
        <v>#REF!</v>
      </c>
      <c r="G16" s="212">
        <f>'Комплекс 2'!F178</f>
        <v>230.07100000000003</v>
      </c>
      <c r="H16" s="212" t="e">
        <f>'Комплекс 2'!#REF!</f>
        <v>#REF!</v>
      </c>
      <c r="I16" s="212">
        <f>'Комплекс 2'!G178</f>
        <v>1700.1689999999999</v>
      </c>
      <c r="J16" s="212">
        <f>'Комплекс 2'!H178</f>
        <v>1.0389999999999999</v>
      </c>
      <c r="K16" s="212">
        <f>'Комплекс 2'!I178</f>
        <v>63.670999999999999</v>
      </c>
      <c r="L16" s="212">
        <f>'Комплекс 2'!J178</f>
        <v>0.21</v>
      </c>
      <c r="M16" s="212">
        <f>'Комплекс 2'!K178</f>
        <v>9.1809999999999992</v>
      </c>
      <c r="N16" s="212">
        <f>'Комплекс 2'!L178</f>
        <v>403.23899999999998</v>
      </c>
      <c r="O16" s="212">
        <f>'Комплекс 2'!M178</f>
        <v>656.601</v>
      </c>
      <c r="P16" s="212">
        <f>'Комплекс 2'!N178</f>
        <v>159.91200000000003</v>
      </c>
      <c r="Q16" s="212">
        <f>'Комплекс 2'!O178</f>
        <v>8.2929999999999993</v>
      </c>
      <c r="R16" s="212">
        <f>'Комплекс 2'!P178</f>
        <v>0.65250000000000008</v>
      </c>
      <c r="S16" s="212">
        <f>'Комплекс 2'!Q178</f>
        <v>32.9405</v>
      </c>
    </row>
    <row r="17" spans="1:19" x14ac:dyDescent="0.2">
      <c r="A17" s="211"/>
      <c r="B17" s="211">
        <v>8</v>
      </c>
      <c r="C17" s="77">
        <f>'Комплекс 2'!D202</f>
        <v>69.914000000000001</v>
      </c>
      <c r="D17" s="77" t="e">
        <f>'Комплекс 2'!#REF!</f>
        <v>#REF!</v>
      </c>
      <c r="E17" s="77">
        <f>'Комплекс 2'!E202</f>
        <v>67.262</v>
      </c>
      <c r="F17" s="77" t="e">
        <f>'Комплекс 2'!#REF!</f>
        <v>#REF!</v>
      </c>
      <c r="G17" s="77">
        <f>'Комплекс 2'!F202</f>
        <v>216.89</v>
      </c>
      <c r="H17" s="77" t="e">
        <f>'Комплекс 2'!#REF!</f>
        <v>#REF!</v>
      </c>
      <c r="I17" s="77">
        <f>'Комплекс 2'!G202</f>
        <v>1751.2850000000001</v>
      </c>
      <c r="J17" s="77">
        <f>'Комплекс 2'!H202</f>
        <v>1.2170000000000001</v>
      </c>
      <c r="K17" s="77">
        <f>'Комплекс 2'!I202</f>
        <v>77.231999999999999</v>
      </c>
      <c r="L17" s="77">
        <f>'Комплекс 2'!J202</f>
        <v>1.206</v>
      </c>
      <c r="M17" s="77">
        <f>'Комплекс 2'!K202</f>
        <v>3.8639999999999999</v>
      </c>
      <c r="N17" s="77">
        <f>'Комплекс 2'!L202</f>
        <v>322.17199999999997</v>
      </c>
      <c r="O17" s="77">
        <f>'Комплекс 2'!M202</f>
        <v>585.54199999999992</v>
      </c>
      <c r="P17" s="77">
        <f>'Комплекс 2'!N202</f>
        <v>143.38800000000001</v>
      </c>
      <c r="Q17" s="77">
        <f>'Комплекс 2'!O202</f>
        <v>9.5210000000000008</v>
      </c>
      <c r="R17" s="77">
        <f>'Комплекс 2'!P202</f>
        <v>0.76999999999999991</v>
      </c>
      <c r="S17" s="77">
        <f>'Комплекс 2'!Q202</f>
        <v>38.648000000000003</v>
      </c>
    </row>
    <row r="18" spans="1:19" x14ac:dyDescent="0.2">
      <c r="A18" s="211"/>
      <c r="B18" s="211">
        <v>9</v>
      </c>
      <c r="C18" s="77">
        <f>'Комплекс 2'!D224</f>
        <v>57.677500000000002</v>
      </c>
      <c r="D18" s="77" t="e">
        <f>'Комплекс 2'!#REF!</f>
        <v>#REF!</v>
      </c>
      <c r="E18" s="77">
        <f>'Комплекс 2'!E224</f>
        <v>50.504499999999993</v>
      </c>
      <c r="F18" s="77" t="e">
        <f>'Комплекс 2'!#REF!</f>
        <v>#REF!</v>
      </c>
      <c r="G18" s="77">
        <f>'Комплекс 2'!F224</f>
        <v>203.81900000000002</v>
      </c>
      <c r="H18" s="77" t="e">
        <f>'Комплекс 2'!#REF!</f>
        <v>#REF!</v>
      </c>
      <c r="I18" s="77">
        <f>'Комплекс 2'!G224</f>
        <v>1479.3880000000004</v>
      </c>
      <c r="J18" s="77">
        <f>'Комплекс 2'!H224</f>
        <v>1.427</v>
      </c>
      <c r="K18" s="77">
        <f>'Комплекс 2'!I224</f>
        <v>91</v>
      </c>
      <c r="L18" s="77">
        <f>'Комплекс 2'!J224</f>
        <v>0.996</v>
      </c>
      <c r="M18" s="77">
        <f>'Комплекс 2'!K224</f>
        <v>3.4670000000000001</v>
      </c>
      <c r="N18" s="77">
        <f>'Комплекс 2'!L224</f>
        <v>683.21800000000007</v>
      </c>
      <c r="O18" s="77">
        <f>'Комплекс 2'!M224</f>
        <v>638.56499999999994</v>
      </c>
      <c r="P18" s="77">
        <f>'Комплекс 2'!N224</f>
        <v>182.37199999999999</v>
      </c>
      <c r="Q18" s="77">
        <f>'Комплекс 2'!O224</f>
        <v>7.2709999999999999</v>
      </c>
      <c r="R18" s="77">
        <f>'Комплекс 2'!P224</f>
        <v>0.88200000000000001</v>
      </c>
      <c r="S18" s="77">
        <f>'Комплекс 2'!Q224</f>
        <v>32.11</v>
      </c>
    </row>
    <row r="19" spans="1:19" x14ac:dyDescent="0.2">
      <c r="A19" s="211"/>
      <c r="B19" s="211">
        <v>10</v>
      </c>
      <c r="C19" s="77">
        <f>'Комплекс 2'!D249</f>
        <v>48.424000000000007</v>
      </c>
      <c r="D19" s="77" t="e">
        <f>'Комплекс 2'!#REF!</f>
        <v>#REF!</v>
      </c>
      <c r="E19" s="77">
        <f>'Комплекс 2'!E249</f>
        <v>55.446999999999996</v>
      </c>
      <c r="F19" s="77" t="e">
        <f>'Комплекс 2'!#REF!</f>
        <v>#REF!</v>
      </c>
      <c r="G19" s="77">
        <f>'Комплекс 2'!F249</f>
        <v>211.70899999999997</v>
      </c>
      <c r="H19" s="77" t="e">
        <f>'Комплекс 2'!#REF!</f>
        <v>#REF!</v>
      </c>
      <c r="I19" s="77">
        <f>'Комплекс 2'!G249</f>
        <v>1552.9110000000001</v>
      </c>
      <c r="J19" s="77">
        <f>'Комплекс 2'!H249</f>
        <v>1.0840000000000001</v>
      </c>
      <c r="K19" s="77">
        <f>'Комплекс 2'!I249</f>
        <v>118.752</v>
      </c>
      <c r="L19" s="77">
        <f>'Комплекс 2'!J249</f>
        <v>0.33171600000000001</v>
      </c>
      <c r="M19" s="77">
        <f>'Комплекс 2'!K249</f>
        <v>9.8719999999999999</v>
      </c>
      <c r="N19" s="77">
        <f>'Комплекс 2'!L249</f>
        <v>528.7170000000001</v>
      </c>
      <c r="O19" s="77">
        <f>'Комплекс 2'!M249</f>
        <v>688.00699999999995</v>
      </c>
      <c r="P19" s="77">
        <f>'Комплекс 2'!N249</f>
        <v>179.65800000000002</v>
      </c>
      <c r="Q19" s="77">
        <f>'Комплекс 2'!O249</f>
        <v>11.6442</v>
      </c>
      <c r="R19" s="77">
        <f>'Комплекс 2'!P249</f>
        <v>1.0840000000000001</v>
      </c>
      <c r="S19" s="77">
        <f>'Комплекс 2'!Q249</f>
        <v>20.984999999999999</v>
      </c>
    </row>
    <row r="20" spans="1:19" x14ac:dyDescent="0.2">
      <c r="A20" s="211"/>
      <c r="B20" s="211">
        <v>11</v>
      </c>
      <c r="C20" s="212">
        <f>'Комплекс 2'!D272</f>
        <v>51.342999999999996</v>
      </c>
      <c r="D20" s="212" t="e">
        <f>'Комплекс 2'!#REF!</f>
        <v>#REF!</v>
      </c>
      <c r="E20" s="212">
        <f>'Комплекс 2'!E272</f>
        <v>56.599999999999994</v>
      </c>
      <c r="F20" s="212" t="e">
        <f>'Комплекс 2'!#REF!</f>
        <v>#REF!</v>
      </c>
      <c r="G20" s="212">
        <f>'Комплекс 2'!F272</f>
        <v>246.57999999999998</v>
      </c>
      <c r="H20" s="212" t="e">
        <f>'Комплекс 2'!#REF!</f>
        <v>#REF!</v>
      </c>
      <c r="I20" s="212">
        <f>'Комплекс 2'!G272</f>
        <v>1697.002</v>
      </c>
      <c r="J20" s="212">
        <f>'Комплекс 2'!H272</f>
        <v>1.1880000000000002</v>
      </c>
      <c r="K20" s="212">
        <f>'Комплекс 2'!I272</f>
        <v>55.121000000000002</v>
      </c>
      <c r="L20" s="212">
        <f>'Комплекс 2'!J272</f>
        <v>0.38100000000000001</v>
      </c>
      <c r="M20" s="212">
        <f>'Комплекс 2'!K272</f>
        <v>7.0120000000000005</v>
      </c>
      <c r="N20" s="212">
        <f>'Комплекс 2'!L272</f>
        <v>728.2</v>
      </c>
      <c r="O20" s="212">
        <f>'Комплекс 2'!M272</f>
        <v>859.86199999999997</v>
      </c>
      <c r="P20" s="212">
        <f>'Комплекс 2'!N272</f>
        <v>327.20300000000003</v>
      </c>
      <c r="Q20" s="212">
        <f>'Комплекс 2'!O272</f>
        <v>13.187200000000002</v>
      </c>
      <c r="R20" s="212">
        <f>'Комплекс 2'!P272</f>
        <v>2.4690000000000003</v>
      </c>
      <c r="S20" s="212">
        <f>'Комплекс 2'!Q272</f>
        <v>34.069999999999993</v>
      </c>
    </row>
    <row r="21" spans="1:19" x14ac:dyDescent="0.2">
      <c r="A21" s="211"/>
      <c r="B21" s="211">
        <v>12</v>
      </c>
      <c r="C21" s="77">
        <f>'Комплекс 2'!D294</f>
        <v>60.516500000000001</v>
      </c>
      <c r="D21" s="77" t="e">
        <f>'Комплекс 2'!#REF!</f>
        <v>#REF!</v>
      </c>
      <c r="E21" s="77">
        <f>'Комплекс 2'!E294</f>
        <v>46.039499999999997</v>
      </c>
      <c r="F21" s="77" t="e">
        <f>'Комплекс 2'!#REF!</f>
        <v>#REF!</v>
      </c>
      <c r="G21" s="77">
        <f>'Комплекс 2'!F294</f>
        <v>250.83400000000003</v>
      </c>
      <c r="H21" s="77" t="e">
        <f>'Комплекс 2'!#REF!</f>
        <v>#REF!</v>
      </c>
      <c r="I21" s="77">
        <f>'Комплекс 2'!G294</f>
        <v>1612.0520000000001</v>
      </c>
      <c r="J21" s="77">
        <f>'Комплекс 2'!H294</f>
        <v>2.2480000000000002</v>
      </c>
      <c r="K21" s="77">
        <f>'Комплекс 2'!I294</f>
        <v>96.265000000000001</v>
      </c>
      <c r="L21" s="77">
        <f>'Комплекс 2'!J294</f>
        <v>0.89071600000000006</v>
      </c>
      <c r="M21" s="77">
        <f>'Комплекс 2'!K294</f>
        <v>8.6709999999999994</v>
      </c>
      <c r="N21" s="77">
        <f>'Комплекс 2'!L294</f>
        <v>392.96199999999999</v>
      </c>
      <c r="O21" s="77">
        <f>'Комплекс 2'!M294</f>
        <v>609.41000000000008</v>
      </c>
      <c r="P21" s="77">
        <f>'Комплекс 2'!N294</f>
        <v>177.12099999999998</v>
      </c>
      <c r="Q21" s="77">
        <f>'Комплекс 2'!O294</f>
        <v>16.184000000000001</v>
      </c>
      <c r="R21" s="77">
        <f>'Комплекс 2'!P294</f>
        <v>1.4080000000000001</v>
      </c>
      <c r="S21" s="77">
        <f>'Комплекс 2'!Q294</f>
        <v>39.190000000000005</v>
      </c>
    </row>
    <row r="22" spans="1:19" x14ac:dyDescent="0.2">
      <c r="A22" s="211" t="s">
        <v>94</v>
      </c>
      <c r="B22" s="211"/>
      <c r="C22" s="77">
        <f t="shared" ref="C22:S22" si="2">SUM(C16:C21)</f>
        <v>336.34250000000003</v>
      </c>
      <c r="D22" s="77"/>
      <c r="E22" s="77">
        <f t="shared" si="2"/>
        <v>338.55149999999992</v>
      </c>
      <c r="F22" s="77"/>
      <c r="G22" s="77">
        <f t="shared" si="2"/>
        <v>1359.903</v>
      </c>
      <c r="H22" s="77"/>
      <c r="I22" s="213">
        <f t="shared" si="2"/>
        <v>9792.8070000000007</v>
      </c>
      <c r="J22" s="77">
        <f t="shared" si="2"/>
        <v>8.2029999999999994</v>
      </c>
      <c r="K22" s="213">
        <f t="shared" si="2"/>
        <v>502.04099999999994</v>
      </c>
      <c r="L22" s="77">
        <f t="shared" si="2"/>
        <v>4.0154320000000006</v>
      </c>
      <c r="M22" s="77">
        <f t="shared" si="2"/>
        <v>42.067</v>
      </c>
      <c r="N22" s="213">
        <f t="shared" si="2"/>
        <v>3058.5080000000003</v>
      </c>
      <c r="O22" s="213">
        <f t="shared" si="2"/>
        <v>4037.9870000000001</v>
      </c>
      <c r="P22" s="77">
        <f t="shared" si="2"/>
        <v>1169.654</v>
      </c>
      <c r="Q22" s="77">
        <f t="shared" si="2"/>
        <v>66.100400000000008</v>
      </c>
      <c r="R22" s="77">
        <f t="shared" si="2"/>
        <v>7.2655000000000003</v>
      </c>
      <c r="S22" s="214">
        <f t="shared" si="2"/>
        <v>197.9435</v>
      </c>
    </row>
    <row r="23" spans="1:19" ht="15" x14ac:dyDescent="0.25">
      <c r="A23" s="211" t="s">
        <v>95</v>
      </c>
      <c r="B23" s="211"/>
      <c r="C23" s="75">
        <f t="shared" ref="C23:S23" si="3">C22/6</f>
        <v>56.057083333333338</v>
      </c>
      <c r="D23" s="75"/>
      <c r="E23" s="75">
        <f t="shared" si="3"/>
        <v>56.425249999999984</v>
      </c>
      <c r="F23" s="75"/>
      <c r="G23" s="75">
        <f t="shared" si="3"/>
        <v>226.65049999999999</v>
      </c>
      <c r="H23" s="75"/>
      <c r="I23" s="76">
        <f t="shared" si="3"/>
        <v>1632.1345000000001</v>
      </c>
      <c r="J23" s="75">
        <f t="shared" si="3"/>
        <v>1.3671666666666666</v>
      </c>
      <c r="K23" s="76">
        <f t="shared" si="3"/>
        <v>83.67349999999999</v>
      </c>
      <c r="L23" s="75">
        <f t="shared" si="3"/>
        <v>0.66923866666666676</v>
      </c>
      <c r="M23" s="75">
        <f t="shared" si="3"/>
        <v>7.011166666666667</v>
      </c>
      <c r="N23" s="76">
        <f t="shared" si="3"/>
        <v>509.75133333333338</v>
      </c>
      <c r="O23" s="76">
        <f t="shared" si="3"/>
        <v>672.99783333333335</v>
      </c>
      <c r="P23" s="75">
        <f t="shared" si="3"/>
        <v>194.94233333333332</v>
      </c>
      <c r="Q23" s="75">
        <f t="shared" si="3"/>
        <v>11.016733333333335</v>
      </c>
      <c r="R23" s="75">
        <f t="shared" si="3"/>
        <v>1.2109166666666666</v>
      </c>
      <c r="S23" s="215">
        <f t="shared" si="3"/>
        <v>32.990583333333333</v>
      </c>
    </row>
    <row r="24" spans="1:19" hidden="1" x14ac:dyDescent="0.2">
      <c r="A24" s="211" t="s">
        <v>104</v>
      </c>
      <c r="B24" s="211"/>
      <c r="C24" s="77">
        <f>77*60/100</f>
        <v>46.2</v>
      </c>
      <c r="D24" s="77"/>
      <c r="E24" s="77">
        <f>79*60/100</f>
        <v>47.4</v>
      </c>
      <c r="F24" s="77"/>
      <c r="G24" s="77">
        <f>335*60/100</f>
        <v>201</v>
      </c>
      <c r="H24" s="77"/>
      <c r="I24" s="213">
        <f>2350*60/100</f>
        <v>1410</v>
      </c>
      <c r="J24" s="77">
        <f>1.2*60/100</f>
        <v>0.72</v>
      </c>
      <c r="K24" s="213">
        <f>60*60/100</f>
        <v>36</v>
      </c>
      <c r="L24" s="77">
        <f>0.7*60/100</f>
        <v>0.42</v>
      </c>
      <c r="M24" s="77">
        <f>10*60/100</f>
        <v>6</v>
      </c>
      <c r="N24" s="213">
        <f>1100*60/100</f>
        <v>660</v>
      </c>
      <c r="O24" s="213">
        <f>1650*60/100</f>
        <v>990</v>
      </c>
      <c r="P24" s="77">
        <f>250*60/100</f>
        <v>150</v>
      </c>
      <c r="Q24" s="77">
        <f>12*60/100</f>
        <v>7.2</v>
      </c>
    </row>
    <row r="25" spans="1:19" x14ac:dyDescent="0.2">
      <c r="A25" s="211" t="s">
        <v>96</v>
      </c>
      <c r="B25" s="211"/>
      <c r="C25" s="77">
        <f>90*70/100</f>
        <v>63</v>
      </c>
      <c r="D25" s="77"/>
      <c r="E25" s="77">
        <f>92*70/100</f>
        <v>64.400000000000006</v>
      </c>
      <c r="F25" s="77"/>
      <c r="G25" s="77">
        <f>383*70/100</f>
        <v>268.10000000000002</v>
      </c>
      <c r="H25" s="77"/>
      <c r="I25" s="213">
        <f>2713*70/100</f>
        <v>1899.1</v>
      </c>
      <c r="J25" s="77">
        <f>1.4*70/100</f>
        <v>0.98</v>
      </c>
      <c r="K25" s="213">
        <f>70*70/100</f>
        <v>49</v>
      </c>
      <c r="L25" s="77">
        <f>0.9*70/100</f>
        <v>0.63</v>
      </c>
      <c r="M25" s="77">
        <f>12*70/100</f>
        <v>8.4</v>
      </c>
      <c r="N25" s="213">
        <f>1200*70/100</f>
        <v>840</v>
      </c>
      <c r="O25" s="213">
        <f>1800*70/100</f>
        <v>1260</v>
      </c>
      <c r="P25" s="77">
        <f>300*70/100</f>
        <v>210</v>
      </c>
      <c r="Q25" s="77">
        <f>17*70/100</f>
        <v>11.9</v>
      </c>
      <c r="R25" s="212">
        <f>1.6*70/100</f>
        <v>1.1200000000000001</v>
      </c>
      <c r="S25" s="212">
        <f>120*70/100</f>
        <v>84</v>
      </c>
    </row>
    <row r="26" spans="1:19" x14ac:dyDescent="0.2">
      <c r="A26" s="211" t="s">
        <v>97</v>
      </c>
      <c r="B26" s="211"/>
      <c r="C26" s="77">
        <f>90*60/100</f>
        <v>54</v>
      </c>
      <c r="D26" s="77"/>
      <c r="E26" s="77">
        <f>92*60/100</f>
        <v>55.2</v>
      </c>
      <c r="F26" s="77"/>
      <c r="G26" s="77">
        <f>383*60/100</f>
        <v>229.8</v>
      </c>
      <c r="H26" s="77"/>
      <c r="I26" s="213">
        <f>2713*60/100</f>
        <v>1627.8</v>
      </c>
      <c r="J26" s="77">
        <f>1.4*60/100</f>
        <v>0.84</v>
      </c>
      <c r="K26" s="213">
        <f>70*60/100</f>
        <v>42</v>
      </c>
      <c r="L26" s="77">
        <f>0.9*60/100</f>
        <v>0.54</v>
      </c>
      <c r="M26" s="77">
        <f>12*60/100</f>
        <v>7.2</v>
      </c>
      <c r="N26" s="213">
        <f>1200*60/100</f>
        <v>720</v>
      </c>
      <c r="O26" s="213">
        <f>1800*60/100</f>
        <v>1080</v>
      </c>
      <c r="P26" s="77">
        <f>300*60/100</f>
        <v>180</v>
      </c>
      <c r="Q26" s="77">
        <f>17*60/100</f>
        <v>10.199999999999999</v>
      </c>
      <c r="R26" s="212">
        <f>1.6*60/100</f>
        <v>0.96</v>
      </c>
      <c r="S26" s="212">
        <f>120*60/100</f>
        <v>72</v>
      </c>
    </row>
    <row r="27" spans="1:19" ht="15" x14ac:dyDescent="0.25">
      <c r="A27" s="211" t="s">
        <v>98</v>
      </c>
      <c r="B27" s="211"/>
      <c r="C27" s="77">
        <f>C23/C23</f>
        <v>1</v>
      </c>
      <c r="D27" s="77"/>
      <c r="E27" s="77">
        <f>E23/C23</f>
        <v>1.0065677099979928</v>
      </c>
      <c r="F27" s="77"/>
      <c r="G27" s="77">
        <f>G23/C23</f>
        <v>4.0432089313720381</v>
      </c>
      <c r="H27" s="77"/>
      <c r="I27" s="213"/>
      <c r="J27" s="77"/>
      <c r="K27" s="213"/>
      <c r="L27" s="77"/>
      <c r="M27" s="77"/>
      <c r="N27" s="213">
        <f>N23/N23</f>
        <v>1</v>
      </c>
      <c r="O27" s="76">
        <f>O23/N23</f>
        <v>1.3202473232046474</v>
      </c>
      <c r="P27" s="77"/>
      <c r="Q27" s="77"/>
    </row>
    <row r="28" spans="1:19" x14ac:dyDescent="0.2">
      <c r="A28" s="211" t="s">
        <v>100</v>
      </c>
      <c r="B28" s="211">
        <v>13</v>
      </c>
      <c r="C28" s="77">
        <f>'Комплекс 2'!D318</f>
        <v>50.495999999999995</v>
      </c>
      <c r="D28" s="77" t="e">
        <f>'Комплекс 2'!#REF!</f>
        <v>#REF!</v>
      </c>
      <c r="E28" s="77">
        <f>'Комплекс 2'!E318</f>
        <v>52.838000000000001</v>
      </c>
      <c r="F28" s="77" t="e">
        <f>'Комплекс 2'!#REF!</f>
        <v>#REF!</v>
      </c>
      <c r="G28" s="77">
        <f>'Комплекс 2'!F318</f>
        <v>221.97399999999999</v>
      </c>
      <c r="H28" s="77" t="e">
        <f>'Комплекс 2'!#REF!</f>
        <v>#REF!</v>
      </c>
      <c r="I28" s="77">
        <f>'Комплекс 2'!G318</f>
        <v>1521.636</v>
      </c>
      <c r="J28" s="77">
        <f>'Комплекс 2'!H318</f>
        <v>1.456</v>
      </c>
      <c r="K28" s="77">
        <f>'Комплекс 2'!I318</f>
        <v>67.200999999999993</v>
      </c>
      <c r="L28" s="77">
        <f>'Комплекс 2'!J318</f>
        <v>0.33699999999999997</v>
      </c>
      <c r="M28" s="77">
        <f>'Комплекс 2'!K318</f>
        <v>6.5540000000000003</v>
      </c>
      <c r="N28" s="77">
        <f>'Комплекс 2'!L318</f>
        <v>651.23700000000008</v>
      </c>
      <c r="O28" s="77">
        <f>'Комплекс 2'!M318</f>
        <v>528.69200000000001</v>
      </c>
      <c r="P28" s="77">
        <f>'Комплекс 2'!N318</f>
        <v>172.751</v>
      </c>
      <c r="Q28" s="77">
        <f>'Комплекс 2'!O318</f>
        <v>9.5030000000000001</v>
      </c>
      <c r="R28" s="77">
        <f>'Комплекс 2'!P318</f>
        <v>1.06</v>
      </c>
      <c r="S28" s="77">
        <f>'Комплекс 2'!Q318</f>
        <v>45.349999999999994</v>
      </c>
    </row>
    <row r="29" spans="1:19" x14ac:dyDescent="0.2">
      <c r="A29" s="211"/>
      <c r="B29" s="211">
        <v>14</v>
      </c>
      <c r="C29" s="77">
        <f>'Комплекс 2'!D341</f>
        <v>71.802000000000007</v>
      </c>
      <c r="D29" s="77" t="e">
        <f>'Комплекс 2'!#REF!</f>
        <v>#REF!</v>
      </c>
      <c r="E29" s="77">
        <f>'Комплекс 2'!E341</f>
        <v>63.631</v>
      </c>
      <c r="F29" s="77" t="e">
        <f>'Комплекс 2'!#REF!</f>
        <v>#REF!</v>
      </c>
      <c r="G29" s="77">
        <f>'Комплекс 2'!F341</f>
        <v>204.21900000000002</v>
      </c>
      <c r="H29" s="77" t="e">
        <f>'Комплекс 2'!#REF!</f>
        <v>#REF!</v>
      </c>
      <c r="I29" s="77">
        <f>'Комплекс 2'!G341</f>
        <v>1624.588</v>
      </c>
      <c r="J29" s="77">
        <f>'Комплекс 2'!H341</f>
        <v>0.76680000000000004</v>
      </c>
      <c r="K29" s="77">
        <f>'Комплекс 2'!I341</f>
        <v>58.698999999999998</v>
      </c>
      <c r="L29" s="77">
        <f>'Комплекс 2'!J341</f>
        <v>1.7729999999999999</v>
      </c>
      <c r="M29" s="77">
        <f>'Комплекс 2'!K341</f>
        <v>5.1719999999999997</v>
      </c>
      <c r="N29" s="77">
        <f>'Комплекс 2'!L341</f>
        <v>880.68200000000002</v>
      </c>
      <c r="O29" s="77">
        <f>'Комплекс 2'!M341</f>
        <v>847.31999999999994</v>
      </c>
      <c r="P29" s="77">
        <f>'Комплекс 2'!N341</f>
        <v>173.10499999999999</v>
      </c>
      <c r="Q29" s="77">
        <f>'Комплекс 2'!O341</f>
        <v>7.8088000000000006</v>
      </c>
      <c r="R29" s="77">
        <f>'Комплекс 2'!P341</f>
        <v>1.0480000000000003</v>
      </c>
      <c r="S29" s="77">
        <f>'Комплекс 2'!Q341</f>
        <v>41.230000000000004</v>
      </c>
    </row>
    <row r="30" spans="1:19" x14ac:dyDescent="0.2">
      <c r="A30" s="211"/>
      <c r="B30" s="211">
        <v>15</v>
      </c>
      <c r="C30" s="77">
        <f>'Комплекс 2'!D365</f>
        <v>57.954999999999998</v>
      </c>
      <c r="D30" s="77" t="e">
        <f>'Комплекс 2'!#REF!</f>
        <v>#REF!</v>
      </c>
      <c r="E30" s="77">
        <f>'Комплекс 2'!E365</f>
        <v>62.961999999999996</v>
      </c>
      <c r="F30" s="77" t="e">
        <f>'Комплекс 2'!#REF!</f>
        <v>#REF!</v>
      </c>
      <c r="G30" s="77">
        <f>'Комплекс 2'!F365</f>
        <v>181.43899999999999</v>
      </c>
      <c r="H30" s="77" t="e">
        <f>'Комплекс 2'!#REF!</f>
        <v>#REF!</v>
      </c>
      <c r="I30" s="77">
        <f>'Комплекс 2'!G365</f>
        <v>1536.548</v>
      </c>
      <c r="J30" s="77">
        <f>'Комплекс 2'!H365</f>
        <v>1.0790000000000002</v>
      </c>
      <c r="K30" s="77">
        <f>'Комплекс 2'!I365</f>
        <v>145.98499999999999</v>
      </c>
      <c r="L30" s="77">
        <f>'Комплекс 2'!J365</f>
        <v>2.5249999999999999</v>
      </c>
      <c r="M30" s="77">
        <f>'Комплекс 2'!K365</f>
        <v>10.002000000000001</v>
      </c>
      <c r="N30" s="77">
        <f>'Комплекс 2'!L365</f>
        <v>491.18299999999999</v>
      </c>
      <c r="O30" s="77">
        <f>'Комплекс 2'!M365</f>
        <v>510.69500000000005</v>
      </c>
      <c r="P30" s="77">
        <f>'Комплекс 2'!N365</f>
        <v>152.02700000000002</v>
      </c>
      <c r="Q30" s="77">
        <f>'Комплекс 2'!O365</f>
        <v>10.446000000000002</v>
      </c>
      <c r="R30" s="77">
        <f>'Комплекс 2'!P365</f>
        <v>0.85699999999999998</v>
      </c>
      <c r="S30" s="77">
        <f>'Комплекс 2'!Q365</f>
        <v>23.15</v>
      </c>
    </row>
    <row r="31" spans="1:19" x14ac:dyDescent="0.2">
      <c r="A31" s="211"/>
      <c r="B31" s="211">
        <v>16</v>
      </c>
      <c r="C31" s="77">
        <f>'Комплекс 2'!D385</f>
        <v>54.207999999999998</v>
      </c>
      <c r="D31" s="77" t="e">
        <f>'Комплекс 2'!#REF!</f>
        <v>#REF!</v>
      </c>
      <c r="E31" s="77">
        <f>'Комплекс 2'!E385</f>
        <v>41.827999999999996</v>
      </c>
      <c r="F31" s="77" t="e">
        <f>'Комплекс 2'!#REF!</f>
        <v>#REF!</v>
      </c>
      <c r="G31" s="77">
        <f>'Комплекс 2'!F385</f>
        <v>238.45000000000002</v>
      </c>
      <c r="H31" s="77" t="e">
        <f>'Комплекс 2'!#REF!</f>
        <v>#REF!</v>
      </c>
      <c r="I31" s="77">
        <f>'Комплекс 2'!G385</f>
        <v>1539.828</v>
      </c>
      <c r="J31" s="77">
        <f>'Комплекс 2'!H385</f>
        <v>1.7869999999999999</v>
      </c>
      <c r="K31" s="77">
        <f>'Комплекс 2'!I385</f>
        <v>85.570999999999998</v>
      </c>
      <c r="L31" s="77">
        <f>'Комплекс 2'!J385</f>
        <v>4.1300000000000008</v>
      </c>
      <c r="M31" s="77">
        <f>'Комплекс 2'!K385</f>
        <v>4.4729999999999999</v>
      </c>
      <c r="N31" s="77">
        <f>'Комплекс 2'!L385</f>
        <v>546.26800000000003</v>
      </c>
      <c r="O31" s="77">
        <f>'Комплекс 2'!M385</f>
        <v>814.31700000000001</v>
      </c>
      <c r="P31" s="77">
        <f>'Комплекс 2'!N385</f>
        <v>231.542</v>
      </c>
      <c r="Q31" s="77">
        <f>'Комплекс 2'!O385</f>
        <v>6.9989999999999997</v>
      </c>
      <c r="R31" s="77">
        <f>'Комплекс 2'!P385</f>
        <v>0.81400000000000006</v>
      </c>
      <c r="S31" s="77">
        <f>'Комплекс 2'!Q385</f>
        <v>70.3</v>
      </c>
    </row>
    <row r="32" spans="1:19" x14ac:dyDescent="0.2">
      <c r="A32" s="211"/>
      <c r="B32" s="211">
        <v>17</v>
      </c>
      <c r="C32" s="77">
        <f>'Комплекс 2'!D408</f>
        <v>55.738499999999995</v>
      </c>
      <c r="D32" s="77" t="e">
        <f>'Комплекс 2'!#REF!</f>
        <v>#REF!</v>
      </c>
      <c r="E32" s="77">
        <f>'Комплекс 2'!E408</f>
        <v>54.956499999999998</v>
      </c>
      <c r="F32" s="77" t="e">
        <f>'Комплекс 2'!#REF!</f>
        <v>#REF!</v>
      </c>
      <c r="G32" s="77">
        <f>'Комплекс 2'!F408</f>
        <v>226.20399999999998</v>
      </c>
      <c r="H32" s="77" t="e">
        <f>'Комплекс 2'!#REF!</f>
        <v>#REF!</v>
      </c>
      <c r="I32" s="77">
        <f>'Комплекс 2'!G408</f>
        <v>1594.598</v>
      </c>
      <c r="J32" s="77">
        <f>'Комплекс 2'!H408</f>
        <v>0.92900000000000016</v>
      </c>
      <c r="K32" s="77">
        <f>'Комплекс 2'!I408</f>
        <v>104.932</v>
      </c>
      <c r="L32" s="77">
        <f>'Комплекс 2'!J408</f>
        <v>0.30499999999999999</v>
      </c>
      <c r="M32" s="77">
        <f>'Комплекс 2'!K408</f>
        <v>3.2410000000000001</v>
      </c>
      <c r="N32" s="77">
        <f>'Комплекс 2'!L408</f>
        <v>547.31899999999996</v>
      </c>
      <c r="O32" s="77">
        <f>'Комплекс 2'!M408</f>
        <v>777.41000000000008</v>
      </c>
      <c r="P32" s="77">
        <f>'Комплекс 2'!N408</f>
        <v>198.58600000000001</v>
      </c>
      <c r="Q32" s="77">
        <f>'Комплекс 2'!O408</f>
        <v>10.389000000000001</v>
      </c>
      <c r="R32" s="77">
        <f>'Комплекс 2'!P408</f>
        <v>0.92599999999999993</v>
      </c>
      <c r="S32" s="77">
        <f>'Комплекс 2'!Q408</f>
        <v>62.089999999999996</v>
      </c>
    </row>
    <row r="33" spans="1:19" x14ac:dyDescent="0.2">
      <c r="A33" s="211"/>
      <c r="B33" s="211">
        <v>18</v>
      </c>
      <c r="C33" s="77">
        <f>'Комплекс 2'!D430</f>
        <v>76.021999999999991</v>
      </c>
      <c r="D33" s="77" t="e">
        <f>'Комплекс 2'!#REF!</f>
        <v>#REF!</v>
      </c>
      <c r="E33" s="77">
        <f>'Комплекс 2'!E430</f>
        <v>56.585999999999991</v>
      </c>
      <c r="F33" s="77" t="e">
        <f>'Комплекс 2'!#REF!</f>
        <v>#REF!</v>
      </c>
      <c r="G33" s="77">
        <f>'Комплекс 2'!F430</f>
        <v>208.15599999999995</v>
      </c>
      <c r="H33" s="77" t="e">
        <f>'Комплекс 2'!#REF!</f>
        <v>#REF!</v>
      </c>
      <c r="I33" s="77">
        <f>'Комплекс 2'!G430</f>
        <v>1609.4840000000002</v>
      </c>
      <c r="J33" s="77">
        <f>'Комплекс 2'!H430</f>
        <v>1.1379999999999999</v>
      </c>
      <c r="K33" s="77">
        <f>'Комплекс 2'!I430</f>
        <v>37.345999999999997</v>
      </c>
      <c r="L33" s="77">
        <f>'Комплекс 2'!J430</f>
        <v>3.1799999999999997</v>
      </c>
      <c r="M33" s="77">
        <f>'Комплекс 2'!K430</f>
        <v>8.7530000000000001</v>
      </c>
      <c r="N33" s="77">
        <f>'Комплекс 2'!L430</f>
        <v>643.44299999999998</v>
      </c>
      <c r="O33" s="77">
        <f>'Комплекс 2'!M430</f>
        <v>871.875</v>
      </c>
      <c r="P33" s="77">
        <f>'Комплекс 2'!N430</f>
        <v>165.85399999999998</v>
      </c>
      <c r="Q33" s="77">
        <f>'Комплекс 2'!O430</f>
        <v>9.2250000000000014</v>
      </c>
      <c r="R33" s="77">
        <f>'Комплекс 2'!P430</f>
        <v>1.3100000000000003</v>
      </c>
      <c r="S33" s="77">
        <f>'Комплекс 2'!Q430</f>
        <v>40.729999999999997</v>
      </c>
    </row>
    <row r="34" spans="1:19" x14ac:dyDescent="0.2">
      <c r="A34" s="211" t="s">
        <v>94</v>
      </c>
      <c r="B34" s="211"/>
      <c r="C34" s="77">
        <f t="shared" ref="C34:S34" si="4">SUM(C28:C33)</f>
        <v>366.22149999999999</v>
      </c>
      <c r="D34" s="77"/>
      <c r="E34" s="77">
        <f t="shared" si="4"/>
        <v>332.80149999999998</v>
      </c>
      <c r="F34" s="77"/>
      <c r="G34" s="77">
        <f t="shared" si="4"/>
        <v>1280.442</v>
      </c>
      <c r="H34" s="77"/>
      <c r="I34" s="213">
        <f t="shared" si="4"/>
        <v>9426.6820000000007</v>
      </c>
      <c r="J34" s="77">
        <f t="shared" si="4"/>
        <v>7.1558000000000002</v>
      </c>
      <c r="K34" s="213">
        <f t="shared" si="4"/>
        <v>499.73400000000004</v>
      </c>
      <c r="L34" s="77">
        <f t="shared" si="4"/>
        <v>12.25</v>
      </c>
      <c r="M34" s="77">
        <f t="shared" si="4"/>
        <v>38.195</v>
      </c>
      <c r="N34" s="213">
        <f t="shared" si="4"/>
        <v>3760.1319999999996</v>
      </c>
      <c r="O34" s="213">
        <f t="shared" si="4"/>
        <v>4350.3090000000002</v>
      </c>
      <c r="P34" s="77">
        <f t="shared" si="4"/>
        <v>1093.865</v>
      </c>
      <c r="Q34" s="77">
        <f t="shared" si="4"/>
        <v>54.37080000000001</v>
      </c>
      <c r="R34" s="77">
        <f t="shared" si="4"/>
        <v>6.0150000000000015</v>
      </c>
      <c r="S34" s="214">
        <f t="shared" si="4"/>
        <v>282.84999999999997</v>
      </c>
    </row>
    <row r="35" spans="1:19" ht="15" x14ac:dyDescent="0.25">
      <c r="A35" s="211" t="s">
        <v>95</v>
      </c>
      <c r="B35" s="211"/>
      <c r="C35" s="75">
        <f t="shared" ref="C35:S35" si="5">C34/6</f>
        <v>61.036916666666663</v>
      </c>
      <c r="D35" s="75"/>
      <c r="E35" s="77">
        <f t="shared" si="5"/>
        <v>55.466916666666663</v>
      </c>
      <c r="F35" s="77"/>
      <c r="G35" s="75">
        <f t="shared" si="5"/>
        <v>213.40700000000001</v>
      </c>
      <c r="H35" s="75"/>
      <c r="I35" s="76">
        <f t="shared" si="5"/>
        <v>1571.1136666666669</v>
      </c>
      <c r="J35" s="75">
        <f t="shared" si="5"/>
        <v>1.1926333333333334</v>
      </c>
      <c r="K35" s="76">
        <f t="shared" si="5"/>
        <v>83.289000000000001</v>
      </c>
      <c r="L35" s="75">
        <f t="shared" si="5"/>
        <v>2.0416666666666665</v>
      </c>
      <c r="M35" s="75">
        <f t="shared" si="5"/>
        <v>6.3658333333333337</v>
      </c>
      <c r="N35" s="76">
        <f t="shared" si="5"/>
        <v>626.68866666666656</v>
      </c>
      <c r="O35" s="76">
        <f t="shared" si="5"/>
        <v>725.05150000000003</v>
      </c>
      <c r="P35" s="75">
        <f t="shared" si="5"/>
        <v>182.31083333333333</v>
      </c>
      <c r="Q35" s="216">
        <f t="shared" si="5"/>
        <v>9.0618000000000016</v>
      </c>
      <c r="R35" s="216">
        <f t="shared" si="5"/>
        <v>1.0025000000000002</v>
      </c>
      <c r="S35" s="217">
        <f t="shared" si="5"/>
        <v>47.141666666666659</v>
      </c>
    </row>
    <row r="36" spans="1:19" hidden="1" x14ac:dyDescent="0.2">
      <c r="A36" s="211" t="s">
        <v>104</v>
      </c>
      <c r="B36" s="211"/>
      <c r="C36" s="77">
        <f>77*60/100</f>
        <v>46.2</v>
      </c>
      <c r="D36" s="77"/>
      <c r="E36" s="77">
        <f>79*60/100</f>
        <v>47.4</v>
      </c>
      <c r="F36" s="77"/>
      <c r="G36" s="77">
        <f>335*60/100</f>
        <v>201</v>
      </c>
      <c r="H36" s="77"/>
      <c r="I36" s="213">
        <f>2350*60/100</f>
        <v>1410</v>
      </c>
      <c r="J36" s="77">
        <f>1.2*60/100</f>
        <v>0.72</v>
      </c>
      <c r="K36" s="213">
        <f>60*60/100</f>
        <v>36</v>
      </c>
      <c r="L36" s="77">
        <f>0.7*60/100</f>
        <v>0.42</v>
      </c>
      <c r="M36" s="77">
        <f>10*60/100</f>
        <v>6</v>
      </c>
      <c r="N36" s="213">
        <f>1100*60/100</f>
        <v>660</v>
      </c>
      <c r="O36" s="213">
        <f>1650*60/100</f>
        <v>990</v>
      </c>
      <c r="P36" s="77">
        <f>250*60/100</f>
        <v>150</v>
      </c>
      <c r="Q36" s="77">
        <f>12*60/100</f>
        <v>7.2</v>
      </c>
    </row>
    <row r="37" spans="1:19" x14ac:dyDescent="0.2">
      <c r="A37" s="211" t="s">
        <v>96</v>
      </c>
      <c r="B37" s="211"/>
      <c r="C37" s="77">
        <f>90*70/100</f>
        <v>63</v>
      </c>
      <c r="D37" s="77"/>
      <c r="E37" s="77">
        <f>92*70/100</f>
        <v>64.400000000000006</v>
      </c>
      <c r="F37" s="77"/>
      <c r="G37" s="77">
        <f>383*70/100</f>
        <v>268.10000000000002</v>
      </c>
      <c r="H37" s="77"/>
      <c r="I37" s="213">
        <f>2713*70/100</f>
        <v>1899.1</v>
      </c>
      <c r="J37" s="77">
        <f>1.4*70/100</f>
        <v>0.98</v>
      </c>
      <c r="K37" s="213">
        <f>70*70/100</f>
        <v>49</v>
      </c>
      <c r="L37" s="77">
        <f>0.9*70/100</f>
        <v>0.63</v>
      </c>
      <c r="M37" s="77">
        <f>12*70/100</f>
        <v>8.4</v>
      </c>
      <c r="N37" s="213">
        <f>1200*70/100</f>
        <v>840</v>
      </c>
      <c r="O37" s="213">
        <f>1800*70/100</f>
        <v>1260</v>
      </c>
      <c r="P37" s="77">
        <f>300*70/100</f>
        <v>210</v>
      </c>
      <c r="Q37" s="77">
        <f>17*70/100</f>
        <v>11.9</v>
      </c>
      <c r="R37" s="212">
        <f>1.6*70/100</f>
        <v>1.1200000000000001</v>
      </c>
      <c r="S37" s="212">
        <f>120*70/100</f>
        <v>84</v>
      </c>
    </row>
    <row r="38" spans="1:19" x14ac:dyDescent="0.2">
      <c r="A38" s="211" t="s">
        <v>97</v>
      </c>
      <c r="B38" s="211"/>
      <c r="C38" s="77">
        <f>90*60/100</f>
        <v>54</v>
      </c>
      <c r="D38" s="77"/>
      <c r="E38" s="77">
        <f>92*60/100</f>
        <v>55.2</v>
      </c>
      <c r="F38" s="77"/>
      <c r="G38" s="77">
        <f>383*60/100</f>
        <v>229.8</v>
      </c>
      <c r="H38" s="77"/>
      <c r="I38" s="213">
        <f>2713*60/100</f>
        <v>1627.8</v>
      </c>
      <c r="J38" s="77">
        <f>1.4*60/100</f>
        <v>0.84</v>
      </c>
      <c r="K38" s="213">
        <f>70*60/100</f>
        <v>42</v>
      </c>
      <c r="L38" s="77">
        <f>0.9*60/100</f>
        <v>0.54</v>
      </c>
      <c r="M38" s="77">
        <f>12*60/100</f>
        <v>7.2</v>
      </c>
      <c r="N38" s="213">
        <f>1200*60/100</f>
        <v>720</v>
      </c>
      <c r="O38" s="213">
        <f>1800*60/100</f>
        <v>1080</v>
      </c>
      <c r="P38" s="77">
        <f>300*60/100</f>
        <v>180</v>
      </c>
      <c r="Q38" s="77">
        <f>17*60/100</f>
        <v>10.199999999999999</v>
      </c>
      <c r="R38" s="212">
        <f>1.6*60/100</f>
        <v>0.96</v>
      </c>
      <c r="S38" s="212">
        <f>120*60/100</f>
        <v>72</v>
      </c>
    </row>
    <row r="39" spans="1:19" ht="15" x14ac:dyDescent="0.25">
      <c r="A39" s="211" t="s">
        <v>98</v>
      </c>
      <c r="B39" s="211"/>
      <c r="C39" s="77">
        <f>C35/C35</f>
        <v>1</v>
      </c>
      <c r="D39" s="77"/>
      <c r="E39" s="77">
        <f>E35/C35</f>
        <v>0.90874375207354019</v>
      </c>
      <c r="F39" s="77"/>
      <c r="G39" s="77">
        <f>G35/C35</f>
        <v>3.4963594436700198</v>
      </c>
      <c r="H39" s="77"/>
      <c r="I39" s="213"/>
      <c r="J39" s="77"/>
      <c r="K39" s="213"/>
      <c r="L39" s="77"/>
      <c r="M39" s="77"/>
      <c r="N39" s="213">
        <f>N35/N35</f>
        <v>1</v>
      </c>
      <c r="O39" s="76">
        <f>O35/N35</f>
        <v>1.1569564579115843</v>
      </c>
      <c r="P39" s="77"/>
      <c r="Q39" s="77"/>
    </row>
    <row r="40" spans="1:19" x14ac:dyDescent="0.2">
      <c r="A40" s="211" t="s">
        <v>101</v>
      </c>
      <c r="B40" s="211">
        <v>19</v>
      </c>
      <c r="C40" s="77">
        <f>'Комплекс 2'!D455</f>
        <v>49.338000000000008</v>
      </c>
      <c r="D40" s="77" t="e">
        <f>'Комплекс 2'!#REF!</f>
        <v>#REF!</v>
      </c>
      <c r="E40" s="77">
        <f>'Комплекс 2'!E455</f>
        <v>49.021999999999998</v>
      </c>
      <c r="F40" s="77" t="e">
        <f>'Комплекс 2'!#REF!</f>
        <v>#REF!</v>
      </c>
      <c r="G40" s="77">
        <f>'Комплекс 2'!F455</f>
        <v>207.125</v>
      </c>
      <c r="H40" s="77" t="e">
        <f>'Комплекс 2'!#REF!</f>
        <v>#REF!</v>
      </c>
      <c r="I40" s="77">
        <f>'Комплекс 2'!G455</f>
        <v>1497.376</v>
      </c>
      <c r="J40" s="77">
        <f>'Комплекс 2'!H455</f>
        <v>0.7994</v>
      </c>
      <c r="K40" s="77">
        <f>'Комплекс 2'!I455</f>
        <v>206.851</v>
      </c>
      <c r="L40" s="77">
        <f>'Комплекс 2'!J455</f>
        <v>9.0999999999999998E-2</v>
      </c>
      <c r="M40" s="77">
        <f>'Комплекс 2'!K455</f>
        <v>5.0570000000000004</v>
      </c>
      <c r="N40" s="77">
        <f>'Комплекс 2'!L455</f>
        <v>591.64800000000002</v>
      </c>
      <c r="O40" s="77">
        <f>'Комплекс 2'!M455</f>
        <v>482.90300000000002</v>
      </c>
      <c r="P40" s="77">
        <f>'Комплекс 2'!N455</f>
        <v>184.86799999999999</v>
      </c>
      <c r="Q40" s="77">
        <f>'Комплекс 2'!O455</f>
        <v>10.813000000000001</v>
      </c>
      <c r="R40" s="77">
        <f>'Комплекс 2'!P455</f>
        <v>0.7782</v>
      </c>
      <c r="S40" s="77">
        <f>'Комплекс 2'!Q455</f>
        <v>77.75</v>
      </c>
    </row>
    <row r="41" spans="1:19" x14ac:dyDescent="0.2">
      <c r="A41" s="211"/>
      <c r="B41" s="211">
        <v>20</v>
      </c>
      <c r="C41" s="77">
        <f>'Комплекс 2'!D477</f>
        <v>65.191500000000005</v>
      </c>
      <c r="D41" s="77" t="e">
        <f>'Комплекс 2'!#REF!</f>
        <v>#REF!</v>
      </c>
      <c r="E41" s="77">
        <f>'Комплекс 2'!E477</f>
        <v>71.675500000000014</v>
      </c>
      <c r="F41" s="77" t="e">
        <f>'Комплекс 2'!#REF!</f>
        <v>#REF!</v>
      </c>
      <c r="G41" s="77">
        <f>'Комплекс 2'!F477</f>
        <v>218.59199999999998</v>
      </c>
      <c r="H41" s="77" t="e">
        <f>'Комплекс 2'!#REF!</f>
        <v>#REF!</v>
      </c>
      <c r="I41" s="77">
        <f>'Комплекс 2'!G477</f>
        <v>1764.89</v>
      </c>
      <c r="J41" s="77">
        <f>'Комплекс 2'!H477</f>
        <v>1.6639999999999999</v>
      </c>
      <c r="K41" s="77">
        <f>'Комплекс 2'!I477</f>
        <v>78.126999999999995</v>
      </c>
      <c r="L41" s="77">
        <f>'Комплекс 2'!J477</f>
        <v>1.3037160000000001</v>
      </c>
      <c r="M41" s="77">
        <f>'Комплекс 2'!K477</f>
        <v>8.39</v>
      </c>
      <c r="N41" s="77">
        <f>'Комплекс 2'!L477</f>
        <v>751.54199999999992</v>
      </c>
      <c r="O41" s="77">
        <f>'Комплекс 2'!M477</f>
        <v>931.12199999999984</v>
      </c>
      <c r="P41" s="77">
        <f>'Комплекс 2'!N477</f>
        <v>186.26600000000002</v>
      </c>
      <c r="Q41" s="77">
        <f>'Комплекс 2'!O477</f>
        <v>8.3149999999999995</v>
      </c>
      <c r="R41" s="77">
        <f>'Комплекс 2'!P477</f>
        <v>1.7385000000000002</v>
      </c>
      <c r="S41" s="77">
        <f>'Комплекс 2'!Q477</f>
        <v>35.004999999999995</v>
      </c>
    </row>
    <row r="42" spans="1:19" x14ac:dyDescent="0.2">
      <c r="A42" s="211"/>
      <c r="B42" s="211">
        <v>21</v>
      </c>
      <c r="C42" s="77">
        <f>'Комплекс 2'!D501</f>
        <v>44.491</v>
      </c>
      <c r="D42" s="77" t="e">
        <f>'Комплекс 2'!#REF!</f>
        <v>#REF!</v>
      </c>
      <c r="E42" s="77">
        <f>'Комплекс 2'!E501</f>
        <v>61.827500000000001</v>
      </c>
      <c r="F42" s="77" t="e">
        <f>'Комплекс 2'!#REF!</f>
        <v>#REF!</v>
      </c>
      <c r="G42" s="77">
        <f>'Комплекс 2'!F501</f>
        <v>248.61799999999999</v>
      </c>
      <c r="H42" s="77" t="e">
        <f>'Комплекс 2'!#REF!</f>
        <v>#REF!</v>
      </c>
      <c r="I42" s="77">
        <f>'Комплекс 2'!G501</f>
        <v>1687.1059999999998</v>
      </c>
      <c r="J42" s="77">
        <f>'Комплекс 2'!H501</f>
        <v>1.5270000000000001</v>
      </c>
      <c r="K42" s="77">
        <f>'Комплекс 2'!I501</f>
        <v>182.76599999999999</v>
      </c>
      <c r="L42" s="77">
        <f>'Комплекс 2'!J501</f>
        <v>0.30499999999999999</v>
      </c>
      <c r="M42" s="77">
        <f>'Комплекс 2'!K501</f>
        <v>7.9979999999999993</v>
      </c>
      <c r="N42" s="77">
        <f>'Комплекс 2'!L501</f>
        <v>455.04199999999997</v>
      </c>
      <c r="O42" s="77">
        <f>'Комплекс 2'!M501</f>
        <v>618.38</v>
      </c>
      <c r="P42" s="77">
        <f>'Комплекс 2'!N501</f>
        <v>306.87600000000003</v>
      </c>
      <c r="Q42" s="77">
        <f>'Комплекс 2'!O501</f>
        <v>14.913000000000004</v>
      </c>
      <c r="R42" s="77">
        <f>'Комплекс 2'!P501</f>
        <v>0.88050000000000006</v>
      </c>
      <c r="S42" s="77">
        <f>'Комплекс 2'!Q501</f>
        <v>41.98</v>
      </c>
    </row>
    <row r="43" spans="1:19" x14ac:dyDescent="0.2">
      <c r="A43" s="211"/>
      <c r="B43" s="211">
        <v>22</v>
      </c>
      <c r="C43" s="77">
        <f>'Комплекс 2'!D523</f>
        <v>61.68249999999999</v>
      </c>
      <c r="D43" s="77" t="e">
        <f>'Комплекс 2'!#REF!</f>
        <v>#REF!</v>
      </c>
      <c r="E43" s="77">
        <f>'Комплекс 2'!E523</f>
        <v>85.045500000000004</v>
      </c>
      <c r="F43" s="77" t="e">
        <f>'Комплекс 2'!#REF!</f>
        <v>#REF!</v>
      </c>
      <c r="G43" s="77">
        <f>'Комплекс 2'!F523</f>
        <v>186.04899999999998</v>
      </c>
      <c r="H43" s="77" t="e">
        <f>'Комплекс 2'!#REF!</f>
        <v>#REF!</v>
      </c>
      <c r="I43" s="77">
        <f>'Комплекс 2'!G523</f>
        <v>1739.2860000000001</v>
      </c>
      <c r="J43" s="77">
        <f>'Комплекс 2'!H523</f>
        <v>0.66100000000000003</v>
      </c>
      <c r="K43" s="77">
        <f>'Комплекс 2'!I523</f>
        <v>27.107999999999997</v>
      </c>
      <c r="L43" s="77">
        <f>'Комплекс 2'!J523</f>
        <v>1.641</v>
      </c>
      <c r="M43" s="77">
        <f>'Комплекс 2'!K523</f>
        <v>5.18</v>
      </c>
      <c r="N43" s="77">
        <f>'Комплекс 2'!L523</f>
        <v>737.05099999999993</v>
      </c>
      <c r="O43" s="77">
        <f>'Комплекс 2'!M523</f>
        <v>837.87400000000002</v>
      </c>
      <c r="P43" s="77">
        <f>'Комплекс 2'!N523</f>
        <v>180.572</v>
      </c>
      <c r="Q43" s="77">
        <f>'Комплекс 2'!O523</f>
        <v>9.9759999999999991</v>
      </c>
      <c r="R43" s="77">
        <f>'Комплекс 2'!P523</f>
        <v>0.76800000000000002</v>
      </c>
      <c r="S43" s="77">
        <f>'Комплекс 2'!Q523</f>
        <v>31.03</v>
      </c>
    </row>
    <row r="44" spans="1:19" x14ac:dyDescent="0.2">
      <c r="A44" s="211"/>
      <c r="B44" s="211">
        <v>23</v>
      </c>
      <c r="C44" s="77">
        <f>'Комплекс 2'!D548</f>
        <v>64.677999999999997</v>
      </c>
      <c r="D44" s="77" t="e">
        <f>'Комплекс 2'!#REF!</f>
        <v>#REF!</v>
      </c>
      <c r="E44" s="77">
        <f>'Комплекс 2'!E548</f>
        <v>39.786999999999999</v>
      </c>
      <c r="F44" s="77" t="e">
        <f>'Комплекс 2'!#REF!</f>
        <v>#REF!</v>
      </c>
      <c r="G44" s="77">
        <f>'Комплекс 2'!F548</f>
        <v>251.52500000000003</v>
      </c>
      <c r="H44" s="77" t="e">
        <f>'Комплекс 2'!#REF!</f>
        <v>#REF!</v>
      </c>
      <c r="I44" s="77">
        <f>'Комплекс 2'!G548</f>
        <v>1626.1890000000001</v>
      </c>
      <c r="J44" s="77">
        <f>'Комплекс 2'!H548</f>
        <v>1.323</v>
      </c>
      <c r="K44" s="77">
        <f>'Комплекс 2'!I548</f>
        <v>206.71099999999998</v>
      </c>
      <c r="L44" s="77">
        <f>'Комплекс 2'!J548</f>
        <v>0.19699999999999998</v>
      </c>
      <c r="M44" s="77">
        <f>'Комплекс 2'!K548</f>
        <v>8.14</v>
      </c>
      <c r="N44" s="77">
        <f>'Комплекс 2'!L548</f>
        <v>839.173</v>
      </c>
      <c r="O44" s="77">
        <f>'Комплекс 2'!M548</f>
        <v>821.56099999999992</v>
      </c>
      <c r="P44" s="77">
        <f>'Комплекс 2'!N548</f>
        <v>203.72999999999996</v>
      </c>
      <c r="Q44" s="77">
        <f>'Комплекс 2'!O548</f>
        <v>10.6752</v>
      </c>
      <c r="R44" s="77">
        <f>'Комплекс 2'!P548</f>
        <v>1.556</v>
      </c>
      <c r="S44" s="77">
        <f>'Комплекс 2'!Q548</f>
        <v>46.650000000000006</v>
      </c>
    </row>
    <row r="45" spans="1:19" x14ac:dyDescent="0.2">
      <c r="A45" s="211"/>
      <c r="B45" s="211">
        <v>24</v>
      </c>
      <c r="C45" s="77">
        <f>'Комплекс 2'!D571</f>
        <v>52.825999999999993</v>
      </c>
      <c r="D45" s="77" t="e">
        <f>'Комплекс 2'!#REF!</f>
        <v>#REF!</v>
      </c>
      <c r="E45" s="77">
        <f>'Комплекс 2'!E571</f>
        <v>55.723500000000001</v>
      </c>
      <c r="F45" s="77" t="e">
        <f>'Комплекс 2'!#REF!</f>
        <v>#REF!</v>
      </c>
      <c r="G45" s="77">
        <f>'Комплекс 2'!F571</f>
        <v>262.87199999999996</v>
      </c>
      <c r="H45" s="77" t="e">
        <f>'Комплекс 2'!#REF!</f>
        <v>#REF!</v>
      </c>
      <c r="I45" s="77">
        <f>'Комплекс 2'!G571</f>
        <v>1742.04</v>
      </c>
      <c r="J45" s="77">
        <f>'Комплекс 2'!H571</f>
        <v>1.8380000000000003</v>
      </c>
      <c r="K45" s="77">
        <f>'Комплекс 2'!I571</f>
        <v>36.344999999999999</v>
      </c>
      <c r="L45" s="77">
        <f>'Комплекс 2'!J571</f>
        <v>0.18771599999999999</v>
      </c>
      <c r="M45" s="77">
        <f>'Комплекс 2'!K571</f>
        <v>9.7859999999999978</v>
      </c>
      <c r="N45" s="77">
        <f>'Комплекс 2'!L571</f>
        <v>684.09100000000012</v>
      </c>
      <c r="O45" s="77">
        <f>'Комплекс 2'!M571</f>
        <v>827.51499999999999</v>
      </c>
      <c r="P45" s="77">
        <f>'Комплекс 2'!N571</f>
        <v>298.44299999999998</v>
      </c>
      <c r="Q45" s="77">
        <f>'Комплекс 2'!O571</f>
        <v>14.675000000000001</v>
      </c>
      <c r="R45" s="77">
        <f>'Комплекс 2'!P571</f>
        <v>1.5985</v>
      </c>
      <c r="S45" s="77">
        <f>'Комплекс 2'!Q571</f>
        <v>44.480000000000004</v>
      </c>
    </row>
    <row r="46" spans="1:19" x14ac:dyDescent="0.2">
      <c r="A46" s="211" t="s">
        <v>94</v>
      </c>
      <c r="B46" s="211"/>
      <c r="C46" s="77">
        <f>SUM(C40:C45)</f>
        <v>338.20699999999999</v>
      </c>
      <c r="D46" s="77"/>
      <c r="E46" s="77">
        <f t="shared" ref="E46:S46" si="6">SUM(E40:E45)</f>
        <v>363.08100000000002</v>
      </c>
      <c r="F46" s="77"/>
      <c r="G46" s="77">
        <f t="shared" si="6"/>
        <v>1374.7809999999999</v>
      </c>
      <c r="H46" s="77"/>
      <c r="I46" s="213">
        <f t="shared" si="6"/>
        <v>10056.886999999999</v>
      </c>
      <c r="J46" s="77">
        <f t="shared" si="6"/>
        <v>7.8124000000000011</v>
      </c>
      <c r="K46" s="213">
        <f t="shared" si="6"/>
        <v>737.90800000000002</v>
      </c>
      <c r="L46" s="77">
        <f t="shared" si="6"/>
        <v>3.7254320000000001</v>
      </c>
      <c r="M46" s="77">
        <f t="shared" si="6"/>
        <v>44.551000000000002</v>
      </c>
      <c r="N46" s="213">
        <f t="shared" si="6"/>
        <v>4058.5470000000005</v>
      </c>
      <c r="O46" s="213">
        <f t="shared" si="6"/>
        <v>4519.3549999999996</v>
      </c>
      <c r="P46" s="77">
        <f t="shared" si="6"/>
        <v>1360.7549999999999</v>
      </c>
      <c r="Q46" s="77">
        <f t="shared" si="6"/>
        <v>69.367199999999997</v>
      </c>
      <c r="R46" s="77">
        <f t="shared" si="6"/>
        <v>7.319700000000001</v>
      </c>
      <c r="S46" s="77">
        <f t="shared" si="6"/>
        <v>276.89499999999998</v>
      </c>
    </row>
    <row r="47" spans="1:19" ht="15" x14ac:dyDescent="0.25">
      <c r="A47" s="211" t="s">
        <v>95</v>
      </c>
      <c r="B47" s="211"/>
      <c r="C47" s="75">
        <f>C46/6</f>
        <v>56.36783333333333</v>
      </c>
      <c r="D47" s="75"/>
      <c r="E47" s="77">
        <f t="shared" ref="E47:S47" si="7">E46/6</f>
        <v>60.513500000000001</v>
      </c>
      <c r="F47" s="77"/>
      <c r="G47" s="75">
        <f t="shared" si="7"/>
        <v>229.13016666666667</v>
      </c>
      <c r="H47" s="75"/>
      <c r="I47" s="213">
        <f t="shared" si="7"/>
        <v>1676.1478333333332</v>
      </c>
      <c r="J47" s="75">
        <f t="shared" si="7"/>
        <v>1.3020666666666669</v>
      </c>
      <c r="K47" s="76">
        <f t="shared" si="7"/>
        <v>122.98466666666667</v>
      </c>
      <c r="L47" s="75">
        <f t="shared" si="7"/>
        <v>0.62090533333333331</v>
      </c>
      <c r="M47" s="75">
        <f t="shared" si="7"/>
        <v>7.4251666666666667</v>
      </c>
      <c r="N47" s="76">
        <f t="shared" si="7"/>
        <v>676.42450000000008</v>
      </c>
      <c r="O47" s="76">
        <f t="shared" si="7"/>
        <v>753.2258333333333</v>
      </c>
      <c r="P47" s="75">
        <f t="shared" si="7"/>
        <v>226.79249999999999</v>
      </c>
      <c r="Q47" s="75">
        <f t="shared" si="7"/>
        <v>11.561199999999999</v>
      </c>
      <c r="R47" s="75">
        <f t="shared" si="7"/>
        <v>1.2199500000000001</v>
      </c>
      <c r="S47" s="75">
        <f t="shared" si="7"/>
        <v>46.149166666666666</v>
      </c>
    </row>
    <row r="48" spans="1:19" hidden="1" x14ac:dyDescent="0.2">
      <c r="A48" s="211" t="s">
        <v>104</v>
      </c>
      <c r="B48" s="211"/>
      <c r="C48" s="77">
        <f>77*60/100</f>
        <v>46.2</v>
      </c>
      <c r="D48" s="77"/>
      <c r="E48" s="77">
        <f>79*60/100</f>
        <v>47.4</v>
      </c>
      <c r="F48" s="77"/>
      <c r="G48" s="77">
        <f>335*60/100</f>
        <v>201</v>
      </c>
      <c r="H48" s="77"/>
      <c r="I48" s="213">
        <f>2350*60/100</f>
        <v>1410</v>
      </c>
      <c r="J48" s="77">
        <f>1.2*60/100</f>
        <v>0.72</v>
      </c>
      <c r="K48" s="213">
        <f>60*60/100</f>
        <v>36</v>
      </c>
      <c r="L48" s="77">
        <f>0.7*60/100</f>
        <v>0.42</v>
      </c>
      <c r="M48" s="77">
        <f>10*60/100</f>
        <v>6</v>
      </c>
      <c r="N48" s="213">
        <f>1100*60/100</f>
        <v>660</v>
      </c>
      <c r="O48" s="213">
        <f>1650*60/100</f>
        <v>990</v>
      </c>
      <c r="P48" s="77">
        <f>250*60/100</f>
        <v>150</v>
      </c>
      <c r="Q48" s="77">
        <f>12*60/100</f>
        <v>7.2</v>
      </c>
    </row>
    <row r="49" spans="1:19" x14ac:dyDescent="0.2">
      <c r="A49" s="211" t="s">
        <v>96</v>
      </c>
      <c r="B49" s="211"/>
      <c r="C49" s="77">
        <f>90*70/100</f>
        <v>63</v>
      </c>
      <c r="D49" s="77"/>
      <c r="E49" s="77">
        <f>92*70/100</f>
        <v>64.400000000000006</v>
      </c>
      <c r="F49" s="77"/>
      <c r="G49" s="77">
        <f>383*70/100</f>
        <v>268.10000000000002</v>
      </c>
      <c r="H49" s="77"/>
      <c r="I49" s="213">
        <f>2713*70/100</f>
        <v>1899.1</v>
      </c>
      <c r="J49" s="77">
        <f>1.4*70/100</f>
        <v>0.98</v>
      </c>
      <c r="K49" s="213">
        <f>70*70/100</f>
        <v>49</v>
      </c>
      <c r="L49" s="77">
        <f>0.9*70/100</f>
        <v>0.63</v>
      </c>
      <c r="M49" s="77">
        <f>12*70/100</f>
        <v>8.4</v>
      </c>
      <c r="N49" s="213">
        <f>1200*70/100</f>
        <v>840</v>
      </c>
      <c r="O49" s="213">
        <f>1800*70/100</f>
        <v>1260</v>
      </c>
      <c r="P49" s="77">
        <f>300*70/100</f>
        <v>210</v>
      </c>
      <c r="Q49" s="77">
        <f>17*70/100</f>
        <v>11.9</v>
      </c>
      <c r="R49" s="212">
        <f>1.6*70/100</f>
        <v>1.1200000000000001</v>
      </c>
      <c r="S49" s="212">
        <f>120*70/100</f>
        <v>84</v>
      </c>
    </row>
    <row r="50" spans="1:19" x14ac:dyDescent="0.2">
      <c r="A50" s="211" t="s">
        <v>97</v>
      </c>
      <c r="B50" s="211"/>
      <c r="C50" s="77">
        <f>90*60/100</f>
        <v>54</v>
      </c>
      <c r="D50" s="77"/>
      <c r="E50" s="77">
        <f>92*60/100</f>
        <v>55.2</v>
      </c>
      <c r="F50" s="77"/>
      <c r="G50" s="77">
        <f>383*60/100</f>
        <v>229.8</v>
      </c>
      <c r="H50" s="77"/>
      <c r="I50" s="213">
        <f>2713*60/100</f>
        <v>1627.8</v>
      </c>
      <c r="J50" s="77">
        <f>1.4*60/100</f>
        <v>0.84</v>
      </c>
      <c r="K50" s="213">
        <f>70*60/100</f>
        <v>42</v>
      </c>
      <c r="L50" s="77">
        <f>0.9*60/100</f>
        <v>0.54</v>
      </c>
      <c r="M50" s="77">
        <f>12*60/100</f>
        <v>7.2</v>
      </c>
      <c r="N50" s="213">
        <f>1200*60/100</f>
        <v>720</v>
      </c>
      <c r="O50" s="213">
        <f>1800*60/100</f>
        <v>1080</v>
      </c>
      <c r="P50" s="77">
        <f>300*60/100</f>
        <v>180</v>
      </c>
      <c r="Q50" s="77">
        <f>17*60/100</f>
        <v>10.199999999999999</v>
      </c>
      <c r="R50" s="212">
        <f>1.6*60/100</f>
        <v>0.96</v>
      </c>
      <c r="S50" s="212">
        <f>120*60/100</f>
        <v>72</v>
      </c>
    </row>
    <row r="51" spans="1:19" ht="15" x14ac:dyDescent="0.25">
      <c r="A51" s="211" t="s">
        <v>98</v>
      </c>
      <c r="B51" s="211"/>
      <c r="C51" s="77">
        <f>C47/C47</f>
        <v>1</v>
      </c>
      <c r="D51" s="77"/>
      <c r="E51" s="77">
        <f>E47/C47</f>
        <v>1.0735466740783013</v>
      </c>
      <c r="F51" s="77"/>
      <c r="G51" s="77">
        <f>G47/C47</f>
        <v>4.0649099515976905</v>
      </c>
      <c r="H51" s="77"/>
      <c r="I51" s="213"/>
      <c r="J51" s="77"/>
      <c r="K51" s="213"/>
      <c r="L51" s="77"/>
      <c r="M51" s="77"/>
      <c r="N51" s="213">
        <f>N47/N47</f>
        <v>1</v>
      </c>
      <c r="O51" s="76">
        <f>O47/N47</f>
        <v>1.1135401413362958</v>
      </c>
      <c r="P51" s="77"/>
      <c r="Q51" s="77"/>
    </row>
    <row r="52" spans="1:19" x14ac:dyDescent="0.2">
      <c r="A52" s="211" t="s">
        <v>102</v>
      </c>
      <c r="B52" s="211"/>
      <c r="C52" s="77">
        <f>C10+C22+C34+C46</f>
        <v>1419.1244999999999</v>
      </c>
      <c r="D52" s="77"/>
      <c r="E52" s="77">
        <f t="shared" ref="E52:S52" si="8">E10+E22+E34+E46</f>
        <v>1371.1524999999997</v>
      </c>
      <c r="F52" s="77"/>
      <c r="G52" s="77">
        <f t="shared" si="8"/>
        <v>5404.27</v>
      </c>
      <c r="H52" s="77">
        <f t="shared" si="8"/>
        <v>0</v>
      </c>
      <c r="I52" s="77">
        <f t="shared" si="8"/>
        <v>39319.190999999999</v>
      </c>
      <c r="J52" s="77">
        <f t="shared" si="8"/>
        <v>31.6724</v>
      </c>
      <c r="K52" s="213">
        <f t="shared" si="8"/>
        <v>2455.1559999999999</v>
      </c>
      <c r="L52" s="77">
        <f t="shared" si="8"/>
        <v>29.707864000000001</v>
      </c>
      <c r="M52" s="77">
        <f t="shared" si="8"/>
        <v>159.714</v>
      </c>
      <c r="N52" s="213">
        <f t="shared" si="8"/>
        <v>14442.955</v>
      </c>
      <c r="O52" s="213">
        <f t="shared" si="8"/>
        <v>18095.017</v>
      </c>
      <c r="P52" s="77">
        <f t="shared" si="8"/>
        <v>5117.2195000000002</v>
      </c>
      <c r="Q52" s="77">
        <f t="shared" si="8"/>
        <v>270.315</v>
      </c>
      <c r="R52" s="77">
        <f t="shared" si="8"/>
        <v>28.687397500000003</v>
      </c>
      <c r="S52" s="77">
        <f t="shared" si="8"/>
        <v>1106.2794999999999</v>
      </c>
    </row>
    <row r="53" spans="1:19" ht="15" x14ac:dyDescent="0.25">
      <c r="A53" s="211"/>
      <c r="B53" s="211"/>
      <c r="C53" s="77">
        <f>C52/24</f>
        <v>59.130187499999998</v>
      </c>
      <c r="D53" s="77"/>
      <c r="E53" s="75">
        <f t="shared" ref="E53:S53" si="9">E52/24</f>
        <v>57.131354166666654</v>
      </c>
      <c r="F53" s="75"/>
      <c r="G53" s="75">
        <f t="shared" si="9"/>
        <v>225.17791666666668</v>
      </c>
      <c r="H53" s="75">
        <f t="shared" si="9"/>
        <v>0</v>
      </c>
      <c r="I53" s="75">
        <f t="shared" si="9"/>
        <v>1638.2996249999999</v>
      </c>
      <c r="J53" s="75">
        <f t="shared" si="9"/>
        <v>1.3196833333333333</v>
      </c>
      <c r="K53" s="213">
        <f t="shared" si="9"/>
        <v>102.29816666666666</v>
      </c>
      <c r="L53" s="75">
        <f t="shared" si="9"/>
        <v>1.2378276666666668</v>
      </c>
      <c r="M53" s="77">
        <f t="shared" si="9"/>
        <v>6.6547499999999999</v>
      </c>
      <c r="N53" s="76">
        <f t="shared" si="9"/>
        <v>601.7897916666667</v>
      </c>
      <c r="O53" s="76">
        <f t="shared" si="9"/>
        <v>753.95904166666662</v>
      </c>
      <c r="P53" s="75">
        <f t="shared" si="9"/>
        <v>213.21747916666666</v>
      </c>
      <c r="Q53" s="75">
        <f t="shared" si="9"/>
        <v>11.263125</v>
      </c>
      <c r="R53" s="75">
        <f t="shared" si="9"/>
        <v>1.1953082291666668</v>
      </c>
      <c r="S53" s="75">
        <f t="shared" si="9"/>
        <v>46.094979166666661</v>
      </c>
    </row>
    <row r="54" spans="1:19" x14ac:dyDescent="0.2">
      <c r="A54" s="211" t="s">
        <v>96</v>
      </c>
      <c r="B54" s="211"/>
      <c r="C54" s="77">
        <f>90*70/100</f>
        <v>63</v>
      </c>
      <c r="D54" s="77"/>
      <c r="E54" s="77">
        <f>92*70/100</f>
        <v>64.400000000000006</v>
      </c>
      <c r="F54" s="77"/>
      <c r="G54" s="77">
        <f>383*70/100</f>
        <v>268.10000000000002</v>
      </c>
      <c r="H54" s="77"/>
      <c r="I54" s="213">
        <f>2713*70/100</f>
        <v>1899.1</v>
      </c>
      <c r="J54" s="77">
        <f>1.4*70/100</f>
        <v>0.98</v>
      </c>
      <c r="K54" s="213">
        <f>70*70/100</f>
        <v>49</v>
      </c>
      <c r="L54" s="77">
        <f>0.9*70/100</f>
        <v>0.63</v>
      </c>
      <c r="M54" s="77">
        <f>12*70/100</f>
        <v>8.4</v>
      </c>
      <c r="N54" s="213">
        <f>1200*70/100</f>
        <v>840</v>
      </c>
      <c r="O54" s="213">
        <f>1800*70/100</f>
        <v>1260</v>
      </c>
      <c r="P54" s="77">
        <f>300*70/100</f>
        <v>210</v>
      </c>
      <c r="Q54" s="77">
        <f>17*70/100</f>
        <v>11.9</v>
      </c>
      <c r="R54" s="212">
        <f>1.6*70/100</f>
        <v>1.1200000000000001</v>
      </c>
      <c r="S54" s="212">
        <f>120*70/100</f>
        <v>84</v>
      </c>
    </row>
    <row r="55" spans="1:19" x14ac:dyDescent="0.2">
      <c r="A55" s="211" t="s">
        <v>97</v>
      </c>
      <c r="B55" s="211"/>
      <c r="C55" s="77">
        <f>90*60/100</f>
        <v>54</v>
      </c>
      <c r="D55" s="77"/>
      <c r="E55" s="77">
        <f>92*60/100</f>
        <v>55.2</v>
      </c>
      <c r="F55" s="77"/>
      <c r="G55" s="77">
        <f>383*60/100</f>
        <v>229.8</v>
      </c>
      <c r="H55" s="77"/>
      <c r="I55" s="213">
        <f>2713*60/100</f>
        <v>1627.8</v>
      </c>
      <c r="J55" s="77">
        <f>1.4*60/100</f>
        <v>0.84</v>
      </c>
      <c r="K55" s="213">
        <f>70*60/100</f>
        <v>42</v>
      </c>
      <c r="L55" s="77">
        <f>0.9*60/100</f>
        <v>0.54</v>
      </c>
      <c r="M55" s="77">
        <f>12*60/100</f>
        <v>7.2</v>
      </c>
      <c r="N55" s="213">
        <f>1200*60/100</f>
        <v>720</v>
      </c>
      <c r="O55" s="213">
        <f>1800*60/100</f>
        <v>1080</v>
      </c>
      <c r="P55" s="77">
        <f>300*60/100</f>
        <v>180</v>
      </c>
      <c r="Q55" s="77">
        <f>17*60/100</f>
        <v>10.199999999999999</v>
      </c>
      <c r="R55" s="212">
        <f>1.6*60/100</f>
        <v>0.96</v>
      </c>
      <c r="S55" s="212">
        <f>120*60/100</f>
        <v>72</v>
      </c>
    </row>
    <row r="56" spans="1:19" ht="15" x14ac:dyDescent="0.25">
      <c r="A56" s="211" t="s">
        <v>98</v>
      </c>
      <c r="B56" s="211"/>
      <c r="C56" s="77">
        <f>C52/C52</f>
        <v>1</v>
      </c>
      <c r="D56" s="77"/>
      <c r="E56" s="77">
        <f>E52/C52</f>
        <v>0.96619605961281041</v>
      </c>
      <c r="F56" s="77"/>
      <c r="G56" s="77">
        <f>G52/C52</f>
        <v>3.8081718693462068</v>
      </c>
      <c r="H56" s="77"/>
      <c r="I56" s="213"/>
      <c r="J56" s="77"/>
      <c r="K56" s="213"/>
      <c r="L56" s="77"/>
      <c r="M56" s="77"/>
      <c r="N56" s="213">
        <f>N53/N53</f>
        <v>1</v>
      </c>
      <c r="O56" s="76">
        <f>O53/N53</f>
        <v>1.2528611354116936</v>
      </c>
      <c r="P56" s="77"/>
      <c r="Q56" s="77"/>
    </row>
  </sheetData>
  <pageMargins left="0.7" right="0.7" top="0.75" bottom="0.75" header="0.3" footer="0.3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topLeftCell="A37" workbookViewId="0">
      <selection activeCell="E8" sqref="E8"/>
    </sheetView>
  </sheetViews>
  <sheetFormatPr defaultRowHeight="12.75" x14ac:dyDescent="0.2"/>
  <cols>
    <col min="4" max="4" width="0" hidden="1" customWidth="1"/>
    <col min="6" max="6" width="0" hidden="1" customWidth="1"/>
    <col min="8" max="8" width="0" hidden="1" customWidth="1"/>
  </cols>
  <sheetData>
    <row r="2" spans="1:19" ht="15" x14ac:dyDescent="0.25">
      <c r="A2" s="9" t="s">
        <v>156</v>
      </c>
      <c r="C2" s="7"/>
      <c r="D2" s="7"/>
      <c r="E2" s="7"/>
      <c r="F2" s="7"/>
      <c r="G2" s="7"/>
      <c r="H2" s="7"/>
      <c r="I2" s="8"/>
      <c r="J2" s="7"/>
      <c r="K2" s="8"/>
      <c r="L2" s="7"/>
      <c r="M2" s="7"/>
      <c r="N2" s="8"/>
      <c r="O2" s="8"/>
      <c r="P2" s="7"/>
      <c r="Q2" s="7"/>
      <c r="R2" s="7"/>
      <c r="S2" s="7"/>
    </row>
    <row r="3" spans="1:19" ht="15" x14ac:dyDescent="0.25">
      <c r="A3" s="10" t="s">
        <v>85</v>
      </c>
      <c r="B3" s="10" t="s">
        <v>86</v>
      </c>
      <c r="C3" s="11" t="s">
        <v>87</v>
      </c>
      <c r="D3" s="11"/>
      <c r="E3" s="11" t="s">
        <v>88</v>
      </c>
      <c r="F3" s="11"/>
      <c r="G3" s="11" t="s">
        <v>89</v>
      </c>
      <c r="H3" s="11"/>
      <c r="I3" s="12" t="s">
        <v>9</v>
      </c>
      <c r="J3" s="11" t="s">
        <v>90</v>
      </c>
      <c r="K3" s="12" t="s">
        <v>24</v>
      </c>
      <c r="L3" s="11" t="s">
        <v>25</v>
      </c>
      <c r="M3" s="11" t="s">
        <v>91</v>
      </c>
      <c r="N3" s="12" t="s">
        <v>27</v>
      </c>
      <c r="O3" s="12" t="s">
        <v>92</v>
      </c>
      <c r="P3" s="11" t="s">
        <v>29</v>
      </c>
      <c r="Q3" s="11" t="s">
        <v>30</v>
      </c>
      <c r="R3" s="36" t="s">
        <v>105</v>
      </c>
      <c r="S3" s="36" t="s">
        <v>107</v>
      </c>
    </row>
    <row r="4" spans="1:19" x14ac:dyDescent="0.2">
      <c r="A4" s="14" t="s">
        <v>93</v>
      </c>
      <c r="B4" s="14">
        <v>1</v>
      </c>
      <c r="C4" s="15">
        <v>35.427999999999997</v>
      </c>
      <c r="D4" s="15">
        <v>48.099999999999994</v>
      </c>
      <c r="E4" s="15">
        <v>31.003</v>
      </c>
      <c r="F4" s="15">
        <v>277.10000000000002</v>
      </c>
      <c r="G4" s="15">
        <v>173.709</v>
      </c>
      <c r="H4" s="15">
        <v>1826.5</v>
      </c>
      <c r="I4" s="15">
        <v>1111.588</v>
      </c>
      <c r="J4" s="15">
        <v>1.024</v>
      </c>
      <c r="K4" s="15">
        <v>77.015000000000001</v>
      </c>
      <c r="L4" s="15">
        <v>2.0270000000000001</v>
      </c>
      <c r="M4" s="15">
        <v>12.507999999999999</v>
      </c>
      <c r="N4" s="15">
        <v>268.29900000000004</v>
      </c>
      <c r="O4" s="15">
        <v>349.54599999999999</v>
      </c>
      <c r="P4" s="15">
        <v>116.99700000000001</v>
      </c>
      <c r="Q4" s="15">
        <v>7.9429999999999996</v>
      </c>
      <c r="R4" s="15">
        <v>0.39800000000000002</v>
      </c>
      <c r="S4" s="15">
        <v>19.689999999999998</v>
      </c>
    </row>
    <row r="5" spans="1:19" x14ac:dyDescent="0.2">
      <c r="A5" s="14"/>
      <c r="B5" s="14">
        <v>2</v>
      </c>
      <c r="C5" s="16">
        <v>43.332999999999998</v>
      </c>
      <c r="D5" s="16">
        <v>33.5</v>
      </c>
      <c r="E5" s="16">
        <v>33.521000000000001</v>
      </c>
      <c r="F5" s="16">
        <v>291.8</v>
      </c>
      <c r="G5" s="16">
        <v>187.48</v>
      </c>
      <c r="H5" s="16">
        <v>1744.35</v>
      </c>
      <c r="I5" s="16">
        <v>1147.1590000000001</v>
      </c>
      <c r="J5" s="16">
        <v>0.67300000000000004</v>
      </c>
      <c r="K5" s="16">
        <v>70.820999999999998</v>
      </c>
      <c r="L5" s="16">
        <v>0.16200000000000001</v>
      </c>
      <c r="M5" s="16">
        <v>7.2635999999999994</v>
      </c>
      <c r="N5" s="16">
        <v>382.70000000000005</v>
      </c>
      <c r="O5" s="16">
        <v>546.18700000000001</v>
      </c>
      <c r="P5" s="16">
        <v>144.43799999999999</v>
      </c>
      <c r="Q5" s="16">
        <v>6.4812000000000003</v>
      </c>
      <c r="R5" s="16">
        <v>0.504</v>
      </c>
      <c r="S5" s="16">
        <v>69.289999999999992</v>
      </c>
    </row>
    <row r="6" spans="1:19" x14ac:dyDescent="0.2">
      <c r="A6" s="14"/>
      <c r="B6" s="14">
        <v>3</v>
      </c>
      <c r="C6" s="16">
        <v>34.278999999999996</v>
      </c>
      <c r="D6" s="16">
        <v>50.78</v>
      </c>
      <c r="E6" s="16">
        <v>34.706000000000003</v>
      </c>
      <c r="F6" s="16">
        <v>227.06</v>
      </c>
      <c r="G6" s="16">
        <v>148.125</v>
      </c>
      <c r="H6" s="16">
        <v>1507.39</v>
      </c>
      <c r="I6" s="16">
        <v>1049.2295000000001</v>
      </c>
      <c r="J6" s="16">
        <v>1.6305000000000001</v>
      </c>
      <c r="K6" s="16">
        <v>63.662999999999997</v>
      </c>
      <c r="L6" s="16">
        <v>0.96171600000000013</v>
      </c>
      <c r="M6" s="16">
        <v>12.732000000000001</v>
      </c>
      <c r="N6" s="16">
        <v>518.34</v>
      </c>
      <c r="O6" s="16">
        <v>803.77499999999998</v>
      </c>
      <c r="P6" s="16">
        <v>433.48400000000004</v>
      </c>
      <c r="Q6" s="16">
        <v>19.3688</v>
      </c>
      <c r="R6" s="16">
        <v>1.4470000000000001</v>
      </c>
      <c r="S6" s="16">
        <v>40.200000000000003</v>
      </c>
    </row>
    <row r="7" spans="1:19" x14ac:dyDescent="0.2">
      <c r="A7" s="14"/>
      <c r="B7" s="14">
        <v>4</v>
      </c>
      <c r="C7" s="16">
        <v>44.573</v>
      </c>
      <c r="D7" s="16">
        <v>38.799999999999997</v>
      </c>
      <c r="E7" s="16">
        <v>34.664000000000001</v>
      </c>
      <c r="F7" s="16">
        <v>363.7</v>
      </c>
      <c r="G7" s="16">
        <v>156.6</v>
      </c>
      <c r="H7" s="16">
        <v>2067.4</v>
      </c>
      <c r="I7" s="16">
        <v>1145.587</v>
      </c>
      <c r="J7" s="16">
        <v>0.91</v>
      </c>
      <c r="K7" s="16">
        <v>147.37</v>
      </c>
      <c r="L7" s="16">
        <v>2.8949999999999996</v>
      </c>
      <c r="M7" s="16">
        <v>7.5539999999999994</v>
      </c>
      <c r="N7" s="16">
        <v>358.93400000000003</v>
      </c>
      <c r="O7" s="16">
        <v>777.88599999999997</v>
      </c>
      <c r="P7" s="16">
        <v>269.26300000000003</v>
      </c>
      <c r="Q7" s="16">
        <v>15.298000000000004</v>
      </c>
      <c r="R7" s="16">
        <v>0.67300000000000015</v>
      </c>
      <c r="S7" s="16">
        <v>50.97</v>
      </c>
    </row>
    <row r="8" spans="1:19" x14ac:dyDescent="0.2">
      <c r="A8" s="14"/>
      <c r="B8" s="14">
        <v>5</v>
      </c>
      <c r="C8" s="16">
        <v>44.146000000000001</v>
      </c>
      <c r="D8" s="16">
        <v>48.8</v>
      </c>
      <c r="E8" s="16">
        <v>40.137999999999991</v>
      </c>
      <c r="F8" s="16">
        <v>284.29999999999995</v>
      </c>
      <c r="G8" s="16">
        <v>192.114</v>
      </c>
      <c r="H8" s="16">
        <v>1861.5</v>
      </c>
      <c r="I8" s="16">
        <v>1163.2559999999999</v>
      </c>
      <c r="J8" s="16">
        <v>0.96100000000000008</v>
      </c>
      <c r="K8" s="16">
        <v>132.08600000000001</v>
      </c>
      <c r="L8" s="16">
        <v>1.4269999999999998</v>
      </c>
      <c r="M8" s="16">
        <v>11.629</v>
      </c>
      <c r="N8" s="16">
        <v>367.149</v>
      </c>
      <c r="O8" s="16">
        <v>558.30400000000009</v>
      </c>
      <c r="P8" s="16">
        <v>163.67900000000003</v>
      </c>
      <c r="Q8" s="16">
        <v>11.987</v>
      </c>
      <c r="R8" s="16">
        <v>0.56400000000000006</v>
      </c>
      <c r="S8" s="16">
        <v>28.41</v>
      </c>
    </row>
    <row r="9" spans="1:19" x14ac:dyDescent="0.2">
      <c r="A9" s="14"/>
      <c r="B9" s="14">
        <v>6</v>
      </c>
      <c r="C9" s="16">
        <v>42.153000000000006</v>
      </c>
      <c r="D9" s="16">
        <v>26.180000000000003</v>
      </c>
      <c r="E9" s="16">
        <v>31.102999999999994</v>
      </c>
      <c r="F9" s="16">
        <v>220.66</v>
      </c>
      <c r="G9" s="16">
        <v>172.70400000000001</v>
      </c>
      <c r="H9" s="16">
        <v>1280.55</v>
      </c>
      <c r="I9" s="16">
        <v>1106.6659999999999</v>
      </c>
      <c r="J9" s="16">
        <v>0.375</v>
      </c>
      <c r="K9" s="16">
        <v>23.679000000000002</v>
      </c>
      <c r="L9" s="16">
        <v>1.59</v>
      </c>
      <c r="M9" s="16">
        <v>6.6799999999999988</v>
      </c>
      <c r="N9" s="16">
        <v>404.20600000000002</v>
      </c>
      <c r="O9" s="16">
        <v>341.50900000000001</v>
      </c>
      <c r="P9" s="16">
        <v>90.936999999999983</v>
      </c>
      <c r="Q9" s="16">
        <v>3.6109999999999998</v>
      </c>
      <c r="R9" s="16">
        <v>0.81800000000000006</v>
      </c>
      <c r="S9" s="16">
        <v>30.65</v>
      </c>
    </row>
    <row r="10" spans="1:19" x14ac:dyDescent="0.2">
      <c r="A10" s="14" t="s">
        <v>94</v>
      </c>
      <c r="B10" s="14"/>
      <c r="C10" s="16">
        <f>SUM(C4:C9)</f>
        <v>243.91200000000003</v>
      </c>
      <c r="D10" s="16"/>
      <c r="E10" s="16">
        <f t="shared" ref="E10:S10" si="0">SUM(E4:E9)</f>
        <v>205.13499999999999</v>
      </c>
      <c r="F10" s="16"/>
      <c r="G10" s="16">
        <f t="shared" si="0"/>
        <v>1030.732</v>
      </c>
      <c r="H10" s="16"/>
      <c r="I10" s="17">
        <f>SUM(I4:I9)</f>
        <v>6723.4854999999998</v>
      </c>
      <c r="J10" s="16">
        <f t="shared" si="0"/>
        <v>5.5735000000000001</v>
      </c>
      <c r="K10" s="17">
        <f t="shared" si="0"/>
        <v>514.63400000000001</v>
      </c>
      <c r="L10" s="16">
        <f t="shared" si="0"/>
        <v>9.062716</v>
      </c>
      <c r="M10" s="16">
        <f t="shared" si="0"/>
        <v>58.366599999999998</v>
      </c>
      <c r="N10" s="17">
        <f t="shared" si="0"/>
        <v>2299.6280000000002</v>
      </c>
      <c r="O10" s="17">
        <f t="shared" si="0"/>
        <v>3377.2069999999999</v>
      </c>
      <c r="P10" s="16">
        <f t="shared" si="0"/>
        <v>1218.798</v>
      </c>
      <c r="Q10" s="16">
        <f t="shared" si="0"/>
        <v>64.689000000000007</v>
      </c>
      <c r="R10" s="16">
        <f t="shared" si="0"/>
        <v>4.4039999999999999</v>
      </c>
      <c r="S10" s="16">
        <f t="shared" si="0"/>
        <v>239.21</v>
      </c>
    </row>
    <row r="11" spans="1:19" ht="15" x14ac:dyDescent="0.25">
      <c r="A11" s="14" t="s">
        <v>95</v>
      </c>
      <c r="B11" s="14"/>
      <c r="C11" s="18">
        <f>C10/6</f>
        <v>40.652000000000008</v>
      </c>
      <c r="D11" s="18"/>
      <c r="E11" s="16">
        <f t="shared" ref="E11:S11" si="1">E10/6</f>
        <v>34.189166666666665</v>
      </c>
      <c r="F11" s="16"/>
      <c r="G11" s="18">
        <f t="shared" si="1"/>
        <v>171.78866666666667</v>
      </c>
      <c r="H11" s="18"/>
      <c r="I11" s="19">
        <f t="shared" si="1"/>
        <v>1120.5809166666666</v>
      </c>
      <c r="J11" s="16">
        <f t="shared" si="1"/>
        <v>0.92891666666666672</v>
      </c>
      <c r="K11" s="17">
        <f t="shared" si="1"/>
        <v>85.772333333333336</v>
      </c>
      <c r="L11" s="18">
        <f t="shared" si="1"/>
        <v>1.5104526666666667</v>
      </c>
      <c r="M11" s="18">
        <f t="shared" si="1"/>
        <v>9.7277666666666658</v>
      </c>
      <c r="N11" s="19">
        <f t="shared" si="1"/>
        <v>383.27133333333336</v>
      </c>
      <c r="O11" s="19">
        <f t="shared" si="1"/>
        <v>562.86783333333335</v>
      </c>
      <c r="P11" s="18">
        <f t="shared" si="1"/>
        <v>203.13300000000001</v>
      </c>
      <c r="Q11" s="18">
        <f t="shared" si="1"/>
        <v>10.781500000000001</v>
      </c>
      <c r="R11" s="18">
        <f t="shared" si="1"/>
        <v>0.73399999999999999</v>
      </c>
      <c r="S11" s="18">
        <f t="shared" si="1"/>
        <v>39.868333333333332</v>
      </c>
    </row>
    <row r="12" spans="1:19" x14ac:dyDescent="0.2">
      <c r="A12" s="20" t="s">
        <v>97</v>
      </c>
      <c r="B12" s="20"/>
      <c r="C12" s="21">
        <f>90*60/100</f>
        <v>54</v>
      </c>
      <c r="D12" s="21"/>
      <c r="E12" s="21">
        <f>92*60/100</f>
        <v>55.2</v>
      </c>
      <c r="F12" s="21"/>
      <c r="G12" s="21">
        <f>383*60/100</f>
        <v>229.8</v>
      </c>
      <c r="H12" s="21"/>
      <c r="I12" s="22">
        <f>2713*60/100</f>
        <v>1627.8</v>
      </c>
      <c r="J12" s="21">
        <f>1.4*60/100</f>
        <v>0.84</v>
      </c>
      <c r="K12" s="22">
        <f>70*60/100</f>
        <v>42</v>
      </c>
      <c r="L12" s="21">
        <f>0.9*60/100</f>
        <v>0.54</v>
      </c>
      <c r="M12" s="21">
        <f>12*60/100</f>
        <v>7.2</v>
      </c>
      <c r="N12" s="22">
        <f>1200*60/100</f>
        <v>720</v>
      </c>
      <c r="O12" s="22">
        <f>1800*60/100</f>
        <v>1080</v>
      </c>
      <c r="P12" s="21">
        <f>300*60/100</f>
        <v>180</v>
      </c>
      <c r="Q12" s="21">
        <f>17*60/100</f>
        <v>10.199999999999999</v>
      </c>
      <c r="R12" s="34">
        <v>1.1200000000000001</v>
      </c>
      <c r="S12" s="34">
        <v>84</v>
      </c>
    </row>
    <row r="13" spans="1:19" x14ac:dyDescent="0.2">
      <c r="A13" s="20" t="s">
        <v>155</v>
      </c>
      <c r="B13" s="20"/>
      <c r="C13" s="21">
        <f>90*50/100</f>
        <v>45</v>
      </c>
      <c r="D13" s="21"/>
      <c r="E13" s="21">
        <f>92*50/100</f>
        <v>46</v>
      </c>
      <c r="F13" s="21"/>
      <c r="G13" s="21">
        <f>383*50/100</f>
        <v>191.5</v>
      </c>
      <c r="H13" s="21"/>
      <c r="I13" s="22">
        <f>2713*50/100</f>
        <v>1356.5</v>
      </c>
      <c r="J13" s="21">
        <f>1.4*50/100</f>
        <v>0.7</v>
      </c>
      <c r="K13" s="22">
        <f>70*50/100</f>
        <v>35</v>
      </c>
      <c r="L13" s="21">
        <f>0.9*50/100</f>
        <v>0.45</v>
      </c>
      <c r="M13" s="21">
        <f>12*50/100</f>
        <v>6</v>
      </c>
      <c r="N13" s="22">
        <f>1200*50/100</f>
        <v>600</v>
      </c>
      <c r="O13" s="22">
        <f>1800*50/100</f>
        <v>900</v>
      </c>
      <c r="P13" s="21">
        <f>300*50/100</f>
        <v>150</v>
      </c>
      <c r="Q13" s="21">
        <f>17*50/100</f>
        <v>8.5</v>
      </c>
      <c r="R13" s="34">
        <v>0.96</v>
      </c>
      <c r="S13" s="34">
        <v>72</v>
      </c>
    </row>
    <row r="14" spans="1:19" ht="15" x14ac:dyDescent="0.25">
      <c r="A14" s="20" t="s">
        <v>98</v>
      </c>
      <c r="B14" s="20"/>
      <c r="C14" s="21">
        <f>C11/C11</f>
        <v>1</v>
      </c>
      <c r="D14" s="21"/>
      <c r="E14" s="21">
        <f>E11/C11</f>
        <v>0.84102053199514559</v>
      </c>
      <c r="F14" s="21"/>
      <c r="G14" s="21">
        <f>G11/C11</f>
        <v>4.2258355472465476</v>
      </c>
      <c r="H14" s="21"/>
      <c r="I14" s="22"/>
      <c r="J14" s="21"/>
      <c r="K14" s="22"/>
      <c r="L14" s="21"/>
      <c r="M14" s="21"/>
      <c r="N14" s="22">
        <f>N11/N11</f>
        <v>1</v>
      </c>
      <c r="O14" s="23">
        <f>O11/N11</f>
        <v>1.4685883977756402</v>
      </c>
      <c r="P14" s="21"/>
      <c r="Q14" s="21"/>
      <c r="R14" s="7"/>
      <c r="S14" s="7"/>
    </row>
    <row r="15" spans="1:19" x14ac:dyDescent="0.2">
      <c r="A15" s="14" t="s">
        <v>99</v>
      </c>
      <c r="B15" s="14">
        <v>7</v>
      </c>
      <c r="C15" s="15">
        <v>36.134</v>
      </c>
      <c r="D15" s="15">
        <v>31.200000000000003</v>
      </c>
      <c r="E15" s="15">
        <v>30.631</v>
      </c>
      <c r="F15" s="15">
        <v>228.8</v>
      </c>
      <c r="G15" s="15">
        <v>150.67699999999999</v>
      </c>
      <c r="H15" s="15">
        <v>1402.2</v>
      </c>
      <c r="I15" s="15">
        <v>1048.57</v>
      </c>
      <c r="J15" s="15">
        <v>1.6610000000000003</v>
      </c>
      <c r="K15" s="15">
        <v>270.62099999999998</v>
      </c>
      <c r="L15" s="15">
        <v>1.806716</v>
      </c>
      <c r="M15" s="15">
        <v>7.2219999999999995</v>
      </c>
      <c r="N15" s="15">
        <v>524.54899999999998</v>
      </c>
      <c r="O15" s="15">
        <v>674.51299999999992</v>
      </c>
      <c r="P15" s="15">
        <v>269.85899999999998</v>
      </c>
      <c r="Q15" s="15">
        <v>9.6310000000000002</v>
      </c>
      <c r="R15" s="15">
        <v>1.5410000000000001</v>
      </c>
      <c r="S15" s="15">
        <v>13.219999999999999</v>
      </c>
    </row>
    <row r="16" spans="1:19" x14ac:dyDescent="0.2">
      <c r="A16" s="14"/>
      <c r="B16" s="14">
        <v>8</v>
      </c>
      <c r="C16" s="16">
        <v>44.852999999999994</v>
      </c>
      <c r="D16" s="16">
        <v>85.2</v>
      </c>
      <c r="E16" s="16">
        <v>42.902999999999999</v>
      </c>
      <c r="F16" s="16">
        <v>273.89999999999998</v>
      </c>
      <c r="G16" s="16">
        <v>126.70899999999999</v>
      </c>
      <c r="H16" s="16">
        <v>2121.4899999999998</v>
      </c>
      <c r="I16" s="16">
        <v>1094.8305</v>
      </c>
      <c r="J16" s="16">
        <v>1.2055000000000002</v>
      </c>
      <c r="K16" s="16">
        <v>97.791499999999985</v>
      </c>
      <c r="L16" s="16">
        <v>1.2350000000000001</v>
      </c>
      <c r="M16" s="16">
        <v>5.3729999999999993</v>
      </c>
      <c r="N16" s="16">
        <v>271.68349999999998</v>
      </c>
      <c r="O16" s="16">
        <v>331.56599999999997</v>
      </c>
      <c r="P16" s="16">
        <v>127.608</v>
      </c>
      <c r="Q16" s="16">
        <v>9.4650000000000016</v>
      </c>
      <c r="R16" s="16">
        <v>0.78400000000000003</v>
      </c>
      <c r="S16" s="16">
        <v>52.69</v>
      </c>
    </row>
    <row r="17" spans="1:19" x14ac:dyDescent="0.2">
      <c r="A17" s="14"/>
      <c r="B17" s="14">
        <v>9</v>
      </c>
      <c r="C17" s="16">
        <v>44.164000000000001</v>
      </c>
      <c r="D17" s="16">
        <v>47</v>
      </c>
      <c r="E17" s="16">
        <v>35.945999999999998</v>
      </c>
      <c r="F17" s="16">
        <v>224.82</v>
      </c>
      <c r="G17" s="16">
        <v>189.27900000000002</v>
      </c>
      <c r="H17" s="16">
        <v>1420.11</v>
      </c>
      <c r="I17" s="16">
        <v>1211.796</v>
      </c>
      <c r="J17" s="16">
        <v>21.802799999999998</v>
      </c>
      <c r="K17" s="16">
        <v>70.778000000000006</v>
      </c>
      <c r="L17" s="16">
        <v>27.712</v>
      </c>
      <c r="M17" s="16">
        <v>19.894000000000002</v>
      </c>
      <c r="N17" s="16">
        <v>261.55399999999997</v>
      </c>
      <c r="O17" s="16">
        <v>884.41200000000003</v>
      </c>
      <c r="P17" s="16">
        <v>229.48500000000001</v>
      </c>
      <c r="Q17" s="16">
        <v>11.713000000000001</v>
      </c>
      <c r="R17" s="16">
        <v>0.54200000000000004</v>
      </c>
      <c r="S17" s="16">
        <v>53.4</v>
      </c>
    </row>
    <row r="18" spans="1:19" x14ac:dyDescent="0.2">
      <c r="A18" s="14"/>
      <c r="B18" s="14">
        <v>10</v>
      </c>
      <c r="C18" s="16">
        <v>51.184999999999995</v>
      </c>
      <c r="D18" s="16">
        <v>32.200000000000003</v>
      </c>
      <c r="E18" s="16">
        <v>40.501000000000005</v>
      </c>
      <c r="F18" s="16">
        <v>292.10000000000002</v>
      </c>
      <c r="G18" s="16">
        <v>177.66</v>
      </c>
      <c r="H18" s="16">
        <v>1738.45</v>
      </c>
      <c r="I18" s="16">
        <v>1150.383</v>
      </c>
      <c r="J18" s="16">
        <v>1.1019999999999999</v>
      </c>
      <c r="K18" s="16">
        <v>138.07599999999999</v>
      </c>
      <c r="L18" s="16">
        <v>0.28000000000000003</v>
      </c>
      <c r="M18" s="16">
        <v>12.49</v>
      </c>
      <c r="N18" s="16">
        <v>450.00100000000003</v>
      </c>
      <c r="O18" s="16">
        <v>821.30600000000004</v>
      </c>
      <c r="P18" s="16">
        <v>190.74900000000002</v>
      </c>
      <c r="Q18" s="16">
        <v>8.2998000000000012</v>
      </c>
      <c r="R18" s="16">
        <v>0.71199999999999997</v>
      </c>
      <c r="S18" s="16">
        <v>82.86999999999999</v>
      </c>
    </row>
    <row r="19" spans="1:19" x14ac:dyDescent="0.2">
      <c r="A19" s="14"/>
      <c r="B19" s="14">
        <v>11</v>
      </c>
      <c r="C19" s="15">
        <v>42.891999999999996</v>
      </c>
      <c r="D19" s="15">
        <v>29.6</v>
      </c>
      <c r="E19" s="15">
        <v>27.34</v>
      </c>
      <c r="F19" s="15">
        <v>191.39999999999998</v>
      </c>
      <c r="G19" s="15">
        <v>182.6</v>
      </c>
      <c r="H19" s="15">
        <v>1284</v>
      </c>
      <c r="I19" s="15">
        <v>1168.1879999999999</v>
      </c>
      <c r="J19" s="15">
        <v>0.64300000000000002</v>
      </c>
      <c r="K19" s="15">
        <v>47.544000000000004</v>
      </c>
      <c r="L19" s="15">
        <v>0.17000000000000004</v>
      </c>
      <c r="M19" s="15">
        <v>4.6740000000000004</v>
      </c>
      <c r="N19" s="15">
        <v>404.50800000000004</v>
      </c>
      <c r="O19" s="15">
        <v>598.58300000000008</v>
      </c>
      <c r="P19" s="15">
        <v>242.46900000000002</v>
      </c>
      <c r="Q19" s="15">
        <v>6.6842000000000006</v>
      </c>
      <c r="R19" s="15">
        <v>0.82800000000000007</v>
      </c>
      <c r="S19" s="15">
        <v>8.82</v>
      </c>
    </row>
    <row r="20" spans="1:19" x14ac:dyDescent="0.2">
      <c r="A20" s="14"/>
      <c r="B20" s="14">
        <v>12</v>
      </c>
      <c r="C20" s="16">
        <v>40.330999999999996</v>
      </c>
      <c r="D20" s="16">
        <v>38.799999999999997</v>
      </c>
      <c r="E20" s="16">
        <v>45.32</v>
      </c>
      <c r="F20" s="16">
        <v>278.3</v>
      </c>
      <c r="G20" s="16">
        <v>217.45000000000002</v>
      </c>
      <c r="H20" s="16">
        <v>1728.75</v>
      </c>
      <c r="I20" s="16">
        <v>1320.8140000000001</v>
      </c>
      <c r="J20" s="16">
        <v>0.86899999999999999</v>
      </c>
      <c r="K20" s="16">
        <v>73.245000000000005</v>
      </c>
      <c r="L20" s="16">
        <v>0.625</v>
      </c>
      <c r="M20" s="16">
        <v>11.345000000000001</v>
      </c>
      <c r="N20" s="16">
        <v>377.685</v>
      </c>
      <c r="O20" s="16">
        <v>591.625</v>
      </c>
      <c r="P20" s="16">
        <v>150.51</v>
      </c>
      <c r="Q20" s="16">
        <v>10.029999999999999</v>
      </c>
      <c r="R20" s="16">
        <v>1.01</v>
      </c>
      <c r="S20" s="16">
        <v>32.85</v>
      </c>
    </row>
    <row r="21" spans="1:19" x14ac:dyDescent="0.2">
      <c r="A21" s="14" t="s">
        <v>94</v>
      </c>
      <c r="B21" s="14"/>
      <c r="C21" s="16">
        <f t="shared" ref="C21:S21" si="2">SUM(C15:C20)</f>
        <v>259.55899999999997</v>
      </c>
      <c r="D21" s="16"/>
      <c r="E21" s="16">
        <f t="shared" si="2"/>
        <v>222.64099999999999</v>
      </c>
      <c r="F21" s="16"/>
      <c r="G21" s="16">
        <f t="shared" si="2"/>
        <v>1044.375</v>
      </c>
      <c r="H21" s="16"/>
      <c r="I21" s="17">
        <f>SUM(I15:I20)</f>
        <v>6994.5815000000002</v>
      </c>
      <c r="J21" s="16">
        <f t="shared" si="2"/>
        <v>27.283300000000001</v>
      </c>
      <c r="K21" s="17">
        <f t="shared" si="2"/>
        <v>698.05549999999994</v>
      </c>
      <c r="L21" s="16">
        <f t="shared" si="2"/>
        <v>31.828716000000004</v>
      </c>
      <c r="M21" s="16">
        <f t="shared" si="2"/>
        <v>60.998000000000005</v>
      </c>
      <c r="N21" s="17">
        <f t="shared" si="2"/>
        <v>2289.9805000000001</v>
      </c>
      <c r="O21" s="17">
        <f t="shared" si="2"/>
        <v>3902.0050000000001</v>
      </c>
      <c r="P21" s="16">
        <f t="shared" si="2"/>
        <v>1210.68</v>
      </c>
      <c r="Q21" s="16">
        <f t="shared" si="2"/>
        <v>55.823000000000008</v>
      </c>
      <c r="R21" s="16">
        <f t="shared" si="2"/>
        <v>5.4169999999999998</v>
      </c>
      <c r="S21" s="16">
        <f t="shared" si="2"/>
        <v>243.85</v>
      </c>
    </row>
    <row r="22" spans="1:19" ht="15" x14ac:dyDescent="0.25">
      <c r="A22" s="14" t="s">
        <v>95</v>
      </c>
      <c r="B22" s="14"/>
      <c r="C22" s="18">
        <f t="shared" ref="C22:S22" si="3">C21/6</f>
        <v>43.259833333333326</v>
      </c>
      <c r="D22" s="18"/>
      <c r="E22" s="18">
        <f t="shared" si="3"/>
        <v>37.106833333333334</v>
      </c>
      <c r="F22" s="18"/>
      <c r="G22" s="18">
        <f t="shared" si="3"/>
        <v>174.0625</v>
      </c>
      <c r="H22" s="18"/>
      <c r="I22" s="19">
        <f t="shared" si="3"/>
        <v>1165.7635833333334</v>
      </c>
      <c r="J22" s="18">
        <f t="shared" si="3"/>
        <v>4.5472166666666665</v>
      </c>
      <c r="K22" s="19">
        <f t="shared" si="3"/>
        <v>116.34258333333332</v>
      </c>
      <c r="L22" s="18">
        <f t="shared" si="3"/>
        <v>5.3047860000000009</v>
      </c>
      <c r="M22" s="18">
        <f t="shared" si="3"/>
        <v>10.166333333333334</v>
      </c>
      <c r="N22" s="19">
        <f t="shared" si="3"/>
        <v>381.66341666666671</v>
      </c>
      <c r="O22" s="19">
        <f t="shared" si="3"/>
        <v>650.33416666666665</v>
      </c>
      <c r="P22" s="18">
        <f t="shared" si="3"/>
        <v>201.78</v>
      </c>
      <c r="Q22" s="18">
        <f t="shared" si="3"/>
        <v>9.3038333333333352</v>
      </c>
      <c r="R22" s="18">
        <f t="shared" si="3"/>
        <v>0.90283333333333327</v>
      </c>
      <c r="S22" s="18">
        <f t="shared" si="3"/>
        <v>40.641666666666666</v>
      </c>
    </row>
    <row r="23" spans="1:19" x14ac:dyDescent="0.2">
      <c r="A23" s="20" t="s">
        <v>97</v>
      </c>
      <c r="B23" s="20"/>
      <c r="C23" s="21">
        <f>90*60/100</f>
        <v>54</v>
      </c>
      <c r="D23" s="21"/>
      <c r="E23" s="21">
        <f>92*60/100</f>
        <v>55.2</v>
      </c>
      <c r="F23" s="21"/>
      <c r="G23" s="21">
        <f>383*60/100</f>
        <v>229.8</v>
      </c>
      <c r="H23" s="21"/>
      <c r="I23" s="22">
        <f>2713*60/100</f>
        <v>1627.8</v>
      </c>
      <c r="J23" s="21">
        <f>1.4*60/100</f>
        <v>0.84</v>
      </c>
      <c r="K23" s="22">
        <f>70*60/100</f>
        <v>42</v>
      </c>
      <c r="L23" s="21">
        <f>0.9*60/100</f>
        <v>0.54</v>
      </c>
      <c r="M23" s="21">
        <f>12*60/100</f>
        <v>7.2</v>
      </c>
      <c r="N23" s="22">
        <f>1200*60/100</f>
        <v>720</v>
      </c>
      <c r="O23" s="22">
        <f>1800*60/100</f>
        <v>1080</v>
      </c>
      <c r="P23" s="21">
        <f>300*60/100</f>
        <v>180</v>
      </c>
      <c r="Q23" s="21">
        <f>17*60/100</f>
        <v>10.199999999999999</v>
      </c>
      <c r="R23" s="34">
        <v>1.1200000000000001</v>
      </c>
      <c r="S23" s="34">
        <v>84</v>
      </c>
    </row>
    <row r="24" spans="1:19" x14ac:dyDescent="0.2">
      <c r="A24" s="20" t="s">
        <v>155</v>
      </c>
      <c r="B24" s="20"/>
      <c r="C24" s="21">
        <f>90*50/100</f>
        <v>45</v>
      </c>
      <c r="D24" s="21"/>
      <c r="E24" s="21">
        <f>92*50/100</f>
        <v>46</v>
      </c>
      <c r="F24" s="21"/>
      <c r="G24" s="21">
        <f>383*50/100</f>
        <v>191.5</v>
      </c>
      <c r="H24" s="21"/>
      <c r="I24" s="22">
        <f>2713*50/100</f>
        <v>1356.5</v>
      </c>
      <c r="J24" s="21">
        <f>1.4*50/100</f>
        <v>0.7</v>
      </c>
      <c r="K24" s="22">
        <f>70*50/100</f>
        <v>35</v>
      </c>
      <c r="L24" s="21">
        <f>0.9*50/100</f>
        <v>0.45</v>
      </c>
      <c r="M24" s="21">
        <f>12*50/100</f>
        <v>6</v>
      </c>
      <c r="N24" s="22">
        <f>1200*50/100</f>
        <v>600</v>
      </c>
      <c r="O24" s="22">
        <f>1800*50/100</f>
        <v>900</v>
      </c>
      <c r="P24" s="21">
        <f>300*50/100</f>
        <v>150</v>
      </c>
      <c r="Q24" s="21">
        <f>17*50/100</f>
        <v>8.5</v>
      </c>
      <c r="R24" s="34">
        <v>0.96</v>
      </c>
      <c r="S24" s="34">
        <v>72</v>
      </c>
    </row>
    <row r="25" spans="1:19" ht="15" x14ac:dyDescent="0.25">
      <c r="A25" s="20" t="s">
        <v>98</v>
      </c>
      <c r="B25" s="20"/>
      <c r="C25" s="21">
        <f>C22/C22</f>
        <v>1</v>
      </c>
      <c r="D25" s="21"/>
      <c r="E25" s="21">
        <f>E22/C22</f>
        <v>0.85776644231176746</v>
      </c>
      <c r="F25" s="21"/>
      <c r="G25" s="21">
        <f>G22/C22</f>
        <v>4.0236516553076571</v>
      </c>
      <c r="H25" s="21"/>
      <c r="I25" s="22"/>
      <c r="J25" s="21"/>
      <c r="K25" s="22"/>
      <c r="L25" s="21"/>
      <c r="M25" s="21"/>
      <c r="N25" s="22">
        <f>N22/N22</f>
        <v>1</v>
      </c>
      <c r="O25" s="23">
        <f>O22/N22</f>
        <v>1.7039468240013396</v>
      </c>
      <c r="P25" s="21"/>
      <c r="Q25" s="21"/>
      <c r="R25" s="7"/>
      <c r="S25" s="7"/>
    </row>
    <row r="26" spans="1:19" x14ac:dyDescent="0.2">
      <c r="A26" s="14" t="s">
        <v>100</v>
      </c>
      <c r="B26" s="14">
        <v>13</v>
      </c>
      <c r="C26" s="16">
        <v>40.250999999999998</v>
      </c>
      <c r="D26" s="16">
        <v>100.89999999999999</v>
      </c>
      <c r="E26" s="16">
        <v>37.768000000000001</v>
      </c>
      <c r="F26" s="16">
        <v>278.72000000000003</v>
      </c>
      <c r="G26" s="16">
        <v>152.54499999999999</v>
      </c>
      <c r="H26" s="16">
        <v>2210.6000000000004</v>
      </c>
      <c r="I26" s="16">
        <v>1129.1895</v>
      </c>
      <c r="J26" s="16">
        <v>22.359499999999997</v>
      </c>
      <c r="K26" s="16">
        <v>112.74300000000001</v>
      </c>
      <c r="L26" s="16">
        <v>0.41</v>
      </c>
      <c r="M26" s="16">
        <v>6.7700000000000005</v>
      </c>
      <c r="N26" s="16">
        <v>431.70000000000005</v>
      </c>
      <c r="O26" s="16">
        <v>778.92000000000007</v>
      </c>
      <c r="P26" s="16">
        <v>161.43</v>
      </c>
      <c r="Q26" s="16">
        <v>8.2199999999999989</v>
      </c>
      <c r="R26" s="16">
        <v>1.1840000000000002</v>
      </c>
      <c r="S26" s="16">
        <v>43.66</v>
      </c>
    </row>
    <row r="27" spans="1:19" x14ac:dyDescent="0.2">
      <c r="A27" s="14"/>
      <c r="B27" s="14">
        <v>14</v>
      </c>
      <c r="C27" s="16">
        <v>53.545999999999999</v>
      </c>
      <c r="D27" s="16">
        <v>36.299999999999997</v>
      </c>
      <c r="E27" s="16">
        <v>27.237999999999996</v>
      </c>
      <c r="F27" s="16">
        <v>197.5</v>
      </c>
      <c r="G27" s="16">
        <v>123.43</v>
      </c>
      <c r="H27" s="16">
        <v>1237.5999999999999</v>
      </c>
      <c r="I27" s="16">
        <v>840.39</v>
      </c>
      <c r="J27" s="16">
        <v>0.67299999999999993</v>
      </c>
      <c r="K27" s="16">
        <v>61.204000000000001</v>
      </c>
      <c r="L27" s="16">
        <v>2.2370000000000001</v>
      </c>
      <c r="M27" s="16">
        <v>10.651999999999999</v>
      </c>
      <c r="N27" s="16">
        <v>330.18500000000006</v>
      </c>
      <c r="O27" s="16">
        <v>686.59400000000005</v>
      </c>
      <c r="P27" s="16">
        <v>175.19600000000003</v>
      </c>
      <c r="Q27" s="16">
        <v>8.6539999999999999</v>
      </c>
      <c r="R27" s="16">
        <v>0.95500000000000007</v>
      </c>
      <c r="S27" s="16">
        <v>67.489999999999995</v>
      </c>
    </row>
    <row r="28" spans="1:19" x14ac:dyDescent="0.2">
      <c r="A28" s="14"/>
      <c r="B28" s="14">
        <v>15</v>
      </c>
      <c r="C28" s="16">
        <v>37.356999999999999</v>
      </c>
      <c r="D28" s="16">
        <v>16.299999999999997</v>
      </c>
      <c r="E28" s="16">
        <v>37.079999999999991</v>
      </c>
      <c r="F28" s="16">
        <v>265.3</v>
      </c>
      <c r="G28" s="16">
        <v>146.03399999999999</v>
      </c>
      <c r="H28" s="16">
        <v>1342.3000000000002</v>
      </c>
      <c r="I28" s="16">
        <v>1128.6489999999999</v>
      </c>
      <c r="J28" s="16">
        <v>0.73399999999999999</v>
      </c>
      <c r="K28" s="16">
        <v>154.82399999999998</v>
      </c>
      <c r="L28" s="16">
        <v>1.4929999999999999</v>
      </c>
      <c r="M28" s="16">
        <v>7.6209999999999996</v>
      </c>
      <c r="N28" s="16">
        <v>297.73400000000004</v>
      </c>
      <c r="O28" s="16">
        <v>689.09100000000001</v>
      </c>
      <c r="P28" s="16">
        <v>153.26900000000001</v>
      </c>
      <c r="Q28" s="16">
        <v>10.862</v>
      </c>
      <c r="R28" s="16">
        <v>0.75600000000000012</v>
      </c>
      <c r="S28" s="16">
        <v>43.57</v>
      </c>
    </row>
    <row r="29" spans="1:19" x14ac:dyDescent="0.2">
      <c r="A29" s="14"/>
      <c r="B29" s="14">
        <v>16</v>
      </c>
      <c r="C29" s="16">
        <v>49.589999999999996</v>
      </c>
      <c r="D29" s="16">
        <v>33.900000000000006</v>
      </c>
      <c r="E29" s="16">
        <v>35.866</v>
      </c>
      <c r="F29" s="16">
        <v>204.4</v>
      </c>
      <c r="G29" s="16">
        <v>146.816</v>
      </c>
      <c r="H29" s="16">
        <v>1333.9</v>
      </c>
      <c r="I29" s="16">
        <v>1103.1689999999999</v>
      </c>
      <c r="J29" s="16">
        <v>0.9910000000000001</v>
      </c>
      <c r="K29" s="16">
        <v>78.980999999999995</v>
      </c>
      <c r="L29" s="16">
        <v>1.83</v>
      </c>
      <c r="M29" s="16">
        <v>7.1109999999999998</v>
      </c>
      <c r="N29" s="16">
        <v>387.07900000000001</v>
      </c>
      <c r="O29" s="16">
        <v>313.45599999999996</v>
      </c>
      <c r="P29" s="16">
        <v>102.297</v>
      </c>
      <c r="Q29" s="16">
        <v>6.9928000000000008</v>
      </c>
      <c r="R29" s="16">
        <v>0.50800000000000001</v>
      </c>
      <c r="S29" s="16">
        <v>19.159999999999997</v>
      </c>
    </row>
    <row r="30" spans="1:19" x14ac:dyDescent="0.2">
      <c r="A30" s="14"/>
      <c r="B30" s="14">
        <v>17</v>
      </c>
      <c r="C30" s="16">
        <v>32.808</v>
      </c>
      <c r="D30" s="16">
        <v>21.3</v>
      </c>
      <c r="E30" s="16">
        <v>20.89</v>
      </c>
      <c r="F30" s="16">
        <v>221.2</v>
      </c>
      <c r="G30" s="16">
        <v>155.928</v>
      </c>
      <c r="H30" s="16">
        <v>1317.4</v>
      </c>
      <c r="I30" s="16">
        <v>970.005</v>
      </c>
      <c r="J30" s="16">
        <v>0.73</v>
      </c>
      <c r="K30" s="16">
        <v>76.673000000000002</v>
      </c>
      <c r="L30" s="16">
        <v>0.71800000000000008</v>
      </c>
      <c r="M30" s="16">
        <v>4.5940000000000003</v>
      </c>
      <c r="N30" s="16">
        <v>386.36400000000003</v>
      </c>
      <c r="O30" s="16">
        <v>730.10599999999999</v>
      </c>
      <c r="P30" s="16">
        <v>251.72900000000001</v>
      </c>
      <c r="Q30" s="16">
        <v>9.8160000000000007</v>
      </c>
      <c r="R30" s="16">
        <v>0.85099999999999998</v>
      </c>
      <c r="S30" s="16">
        <v>18.079999999999998</v>
      </c>
    </row>
    <row r="31" spans="1:19" x14ac:dyDescent="0.2">
      <c r="A31" s="14"/>
      <c r="B31" s="14">
        <v>18</v>
      </c>
      <c r="C31" s="16">
        <v>50.945999999999998</v>
      </c>
      <c r="D31" s="16">
        <v>50.6</v>
      </c>
      <c r="E31" s="16">
        <v>33.762999999999998</v>
      </c>
      <c r="F31" s="16">
        <v>221.72</v>
      </c>
      <c r="G31" s="16">
        <v>192.81</v>
      </c>
      <c r="H31" s="16">
        <v>1479.06</v>
      </c>
      <c r="I31" s="16">
        <v>1294.385</v>
      </c>
      <c r="J31" s="16">
        <v>22.026999999999997</v>
      </c>
      <c r="K31" s="16">
        <v>222.726</v>
      </c>
      <c r="L31" s="16">
        <v>23.075999999999997</v>
      </c>
      <c r="M31" s="16">
        <v>12.5</v>
      </c>
      <c r="N31" s="16">
        <v>401.02</v>
      </c>
      <c r="O31" s="16">
        <v>600.11599999999999</v>
      </c>
      <c r="P31" s="16">
        <v>171.26500000000001</v>
      </c>
      <c r="Q31" s="16">
        <v>7.7910000000000004</v>
      </c>
      <c r="R31" s="16">
        <v>0.52200000000000002</v>
      </c>
      <c r="S31" s="16">
        <v>41.709999999999994</v>
      </c>
    </row>
    <row r="32" spans="1:19" x14ac:dyDescent="0.2">
      <c r="A32" s="14" t="s">
        <v>94</v>
      </c>
      <c r="B32" s="14"/>
      <c r="C32" s="16">
        <f t="shared" ref="C32:S32" si="4">SUM(C26:C31)</f>
        <v>264.49799999999999</v>
      </c>
      <c r="D32" s="16"/>
      <c r="E32" s="16">
        <f t="shared" si="4"/>
        <v>192.60499999999999</v>
      </c>
      <c r="F32" s="16"/>
      <c r="G32" s="16">
        <f t="shared" si="4"/>
        <v>917.5630000000001</v>
      </c>
      <c r="H32" s="16"/>
      <c r="I32" s="17">
        <f>SUM(I26:I31)</f>
        <v>6465.7874999999995</v>
      </c>
      <c r="J32" s="16">
        <f t="shared" si="4"/>
        <v>47.514499999999991</v>
      </c>
      <c r="K32" s="17">
        <f t="shared" si="4"/>
        <v>707.15099999999995</v>
      </c>
      <c r="L32" s="16">
        <f t="shared" si="4"/>
        <v>29.763999999999996</v>
      </c>
      <c r="M32" s="16">
        <f t="shared" si="4"/>
        <v>49.247999999999998</v>
      </c>
      <c r="N32" s="17">
        <f t="shared" si="4"/>
        <v>2234.0820000000003</v>
      </c>
      <c r="O32" s="17">
        <f t="shared" si="4"/>
        <v>3798.2830000000004</v>
      </c>
      <c r="P32" s="16">
        <f t="shared" si="4"/>
        <v>1015.186</v>
      </c>
      <c r="Q32" s="16">
        <f t="shared" si="4"/>
        <v>52.335800000000006</v>
      </c>
      <c r="R32" s="16">
        <f t="shared" si="4"/>
        <v>4.7760000000000007</v>
      </c>
      <c r="S32" s="16">
        <f t="shared" si="4"/>
        <v>233.66999999999996</v>
      </c>
    </row>
    <row r="33" spans="1:19" ht="15" x14ac:dyDescent="0.25">
      <c r="A33" s="14" t="s">
        <v>95</v>
      </c>
      <c r="B33" s="14"/>
      <c r="C33" s="18">
        <f t="shared" ref="C33:S33" si="5">C32/6</f>
        <v>44.082999999999998</v>
      </c>
      <c r="D33" s="18"/>
      <c r="E33" s="16">
        <f t="shared" si="5"/>
        <v>32.100833333333334</v>
      </c>
      <c r="F33" s="16"/>
      <c r="G33" s="18">
        <f t="shared" si="5"/>
        <v>152.92716666666669</v>
      </c>
      <c r="H33" s="18"/>
      <c r="I33" s="19">
        <f t="shared" si="5"/>
        <v>1077.6312499999999</v>
      </c>
      <c r="J33" s="18">
        <f t="shared" si="5"/>
        <v>7.9190833333333321</v>
      </c>
      <c r="K33" s="19">
        <f t="shared" si="5"/>
        <v>117.85849999999999</v>
      </c>
      <c r="L33" s="18">
        <f t="shared" si="5"/>
        <v>4.9606666666666657</v>
      </c>
      <c r="M33" s="18">
        <f t="shared" si="5"/>
        <v>8.2080000000000002</v>
      </c>
      <c r="N33" s="19">
        <f t="shared" si="5"/>
        <v>372.34700000000004</v>
      </c>
      <c r="O33" s="19">
        <f t="shared" si="5"/>
        <v>633.04716666666673</v>
      </c>
      <c r="P33" s="18">
        <f t="shared" si="5"/>
        <v>169.19766666666666</v>
      </c>
      <c r="Q33" s="16">
        <f t="shared" si="5"/>
        <v>8.7226333333333343</v>
      </c>
      <c r="R33" s="16">
        <f t="shared" si="5"/>
        <v>0.79600000000000015</v>
      </c>
      <c r="S33" s="16">
        <f t="shared" si="5"/>
        <v>38.944999999999993</v>
      </c>
    </row>
    <row r="34" spans="1:19" x14ac:dyDescent="0.2">
      <c r="A34" s="20" t="s">
        <v>97</v>
      </c>
      <c r="B34" s="20"/>
      <c r="C34" s="21">
        <f>90*60/100</f>
        <v>54</v>
      </c>
      <c r="D34" s="21"/>
      <c r="E34" s="21">
        <f>92*60/100</f>
        <v>55.2</v>
      </c>
      <c r="F34" s="21"/>
      <c r="G34" s="21">
        <f>383*60/100</f>
        <v>229.8</v>
      </c>
      <c r="H34" s="21"/>
      <c r="I34" s="22">
        <f>2713*60/100</f>
        <v>1627.8</v>
      </c>
      <c r="J34" s="21">
        <f>1.4*60/100</f>
        <v>0.84</v>
      </c>
      <c r="K34" s="22">
        <f>70*60/100</f>
        <v>42</v>
      </c>
      <c r="L34" s="21">
        <f>0.9*60/100</f>
        <v>0.54</v>
      </c>
      <c r="M34" s="21">
        <f>12*60/100</f>
        <v>7.2</v>
      </c>
      <c r="N34" s="22">
        <f>1200*60/100</f>
        <v>720</v>
      </c>
      <c r="O34" s="22">
        <f>1800*60/100</f>
        <v>1080</v>
      </c>
      <c r="P34" s="21">
        <f>300*60/100</f>
        <v>180</v>
      </c>
      <c r="Q34" s="21">
        <f>17*60/100</f>
        <v>10.199999999999999</v>
      </c>
      <c r="R34" s="34">
        <v>1.1200000000000001</v>
      </c>
      <c r="S34" s="34">
        <v>84</v>
      </c>
    </row>
    <row r="35" spans="1:19" x14ac:dyDescent="0.2">
      <c r="A35" s="20" t="s">
        <v>155</v>
      </c>
      <c r="B35" s="20"/>
      <c r="C35" s="21">
        <f>90*50/100</f>
        <v>45</v>
      </c>
      <c r="D35" s="21"/>
      <c r="E35" s="21">
        <f>92*50/100</f>
        <v>46</v>
      </c>
      <c r="F35" s="21"/>
      <c r="G35" s="21">
        <f>383*50/100</f>
        <v>191.5</v>
      </c>
      <c r="H35" s="21"/>
      <c r="I35" s="22">
        <f>2713*50/100</f>
        <v>1356.5</v>
      </c>
      <c r="J35" s="21">
        <f>1.4*50/100</f>
        <v>0.7</v>
      </c>
      <c r="K35" s="22">
        <f>70*50/100</f>
        <v>35</v>
      </c>
      <c r="L35" s="21">
        <f>0.9*50/100</f>
        <v>0.45</v>
      </c>
      <c r="M35" s="21">
        <f>12*50/100</f>
        <v>6</v>
      </c>
      <c r="N35" s="22">
        <f>1200*50/100</f>
        <v>600</v>
      </c>
      <c r="O35" s="22">
        <f>1800*50/100</f>
        <v>900</v>
      </c>
      <c r="P35" s="21">
        <f>300*50/100</f>
        <v>150</v>
      </c>
      <c r="Q35" s="21">
        <f>17*50/100</f>
        <v>8.5</v>
      </c>
      <c r="R35" s="34">
        <v>0.96</v>
      </c>
      <c r="S35" s="34">
        <v>72</v>
      </c>
    </row>
    <row r="36" spans="1:19" ht="15" x14ac:dyDescent="0.25">
      <c r="A36" s="20" t="s">
        <v>98</v>
      </c>
      <c r="B36" s="20"/>
      <c r="C36" s="21">
        <f>C33/C33</f>
        <v>1</v>
      </c>
      <c r="D36" s="21"/>
      <c r="E36" s="21">
        <f>E33/C33</f>
        <v>0.72819076136681571</v>
      </c>
      <c r="F36" s="21"/>
      <c r="G36" s="21">
        <f>G33/C33</f>
        <v>3.4690734901587166</v>
      </c>
      <c r="H36" s="21"/>
      <c r="I36" s="22"/>
      <c r="J36" s="21"/>
      <c r="K36" s="22"/>
      <c r="L36" s="21"/>
      <c r="M36" s="21"/>
      <c r="N36" s="22">
        <f>N33/N33</f>
        <v>1</v>
      </c>
      <c r="O36" s="23">
        <f>O33/N33</f>
        <v>1.7001537991891076</v>
      </c>
      <c r="P36" s="21"/>
      <c r="Q36" s="21"/>
      <c r="R36" s="7"/>
      <c r="S36" s="7"/>
    </row>
    <row r="37" spans="1:19" x14ac:dyDescent="0.2">
      <c r="A37" s="14" t="s">
        <v>101</v>
      </c>
      <c r="B37" s="14">
        <v>19</v>
      </c>
      <c r="C37" s="16">
        <v>51.225999999999992</v>
      </c>
      <c r="D37" s="16">
        <v>51.400000000000006</v>
      </c>
      <c r="E37" s="16">
        <v>39.64</v>
      </c>
      <c r="F37" s="16">
        <v>263.89999999999998</v>
      </c>
      <c r="G37" s="16">
        <v>125.40599999999998</v>
      </c>
      <c r="H37" s="16">
        <v>1807.8</v>
      </c>
      <c r="I37" s="16">
        <v>967.4860000000001</v>
      </c>
      <c r="J37" s="16">
        <v>0.68500000000000005</v>
      </c>
      <c r="K37" s="16">
        <v>36.785000000000004</v>
      </c>
      <c r="L37" s="16">
        <v>0.44</v>
      </c>
      <c r="M37" s="16">
        <v>6.6199999999999992</v>
      </c>
      <c r="N37" s="16">
        <v>283.04999999999995</v>
      </c>
      <c r="O37" s="16">
        <v>720.92</v>
      </c>
      <c r="P37" s="16">
        <v>181.2</v>
      </c>
      <c r="Q37" s="16">
        <v>12.100000000000001</v>
      </c>
      <c r="R37" s="16">
        <v>0.98</v>
      </c>
      <c r="S37" s="16">
        <v>39.409999999999997</v>
      </c>
    </row>
    <row r="38" spans="1:19" x14ac:dyDescent="0.2">
      <c r="A38" s="14"/>
      <c r="B38" s="14">
        <v>20</v>
      </c>
      <c r="C38" s="16">
        <v>64.27</v>
      </c>
      <c r="D38" s="16">
        <v>27.1</v>
      </c>
      <c r="E38" s="16">
        <v>47.85</v>
      </c>
      <c r="F38" s="16">
        <v>230.6</v>
      </c>
      <c r="G38" s="16">
        <v>201.76499999999999</v>
      </c>
      <c r="H38" s="16">
        <v>1420.2</v>
      </c>
      <c r="I38" s="16">
        <v>1290.7380000000001</v>
      </c>
      <c r="J38" s="16">
        <v>1.6549999999999998</v>
      </c>
      <c r="K38" s="16">
        <v>92.75</v>
      </c>
      <c r="L38" s="16">
        <v>1.385</v>
      </c>
      <c r="M38" s="16">
        <v>9.7199999999999989</v>
      </c>
      <c r="N38" s="16">
        <v>560.23</v>
      </c>
      <c r="O38" s="16">
        <v>896.65000000000009</v>
      </c>
      <c r="P38" s="16">
        <v>229.82500000000002</v>
      </c>
      <c r="Q38" s="16">
        <v>7.2121999999999993</v>
      </c>
      <c r="R38" s="16">
        <v>1.04</v>
      </c>
      <c r="S38" s="16">
        <v>51.980000000000004</v>
      </c>
    </row>
    <row r="39" spans="1:19" x14ac:dyDescent="0.2">
      <c r="A39" s="14"/>
      <c r="B39" s="14">
        <v>21</v>
      </c>
      <c r="C39" s="16">
        <v>48.248999999999995</v>
      </c>
      <c r="D39" s="16">
        <v>42.260000000000005</v>
      </c>
      <c r="E39" s="16">
        <v>31.814999999999998</v>
      </c>
      <c r="F39" s="16">
        <v>417.31000000000006</v>
      </c>
      <c r="G39" s="16">
        <v>191.84300000000002</v>
      </c>
      <c r="H39" s="16">
        <v>2369.0699999999997</v>
      </c>
      <c r="I39" s="16">
        <v>1276.423</v>
      </c>
      <c r="J39" s="16">
        <v>1.6840000000000002</v>
      </c>
      <c r="K39" s="16">
        <v>211.65</v>
      </c>
      <c r="L39" s="16">
        <v>3.61</v>
      </c>
      <c r="M39" s="16">
        <v>7.2396000000000003</v>
      </c>
      <c r="N39" s="16">
        <v>436.37099999999998</v>
      </c>
      <c r="O39" s="16">
        <v>915.80799999999999</v>
      </c>
      <c r="P39" s="16">
        <v>260.69100000000003</v>
      </c>
      <c r="Q39" s="16">
        <v>18.340199999999999</v>
      </c>
      <c r="R39" s="16">
        <v>2.4600000000000004</v>
      </c>
      <c r="S39" s="16">
        <v>19.3</v>
      </c>
    </row>
    <row r="40" spans="1:19" x14ac:dyDescent="0.2">
      <c r="A40" s="14"/>
      <c r="B40" s="14">
        <v>22</v>
      </c>
      <c r="C40" s="16">
        <v>41.528999999999996</v>
      </c>
      <c r="D40" s="16">
        <v>75.2</v>
      </c>
      <c r="E40" s="16">
        <v>46</v>
      </c>
      <c r="F40" s="16">
        <v>292.29999999999995</v>
      </c>
      <c r="G40" s="16">
        <v>149.89499999999998</v>
      </c>
      <c r="H40" s="16">
        <v>2147.9899999999998</v>
      </c>
      <c r="I40" s="16">
        <v>1217.4575</v>
      </c>
      <c r="J40" s="16">
        <v>1.1475</v>
      </c>
      <c r="K40" s="16">
        <v>83.052999999999997</v>
      </c>
      <c r="L40" s="16">
        <v>0.93900000000000006</v>
      </c>
      <c r="M40" s="16">
        <v>3.6730000000000005</v>
      </c>
      <c r="N40" s="16">
        <v>305.18700000000001</v>
      </c>
      <c r="O40" s="16">
        <v>429.09799999999996</v>
      </c>
      <c r="P40" s="16">
        <v>137.215</v>
      </c>
      <c r="Q40" s="16">
        <v>10.017000000000001</v>
      </c>
      <c r="R40" s="16">
        <v>0.71799999999999997</v>
      </c>
      <c r="S40" s="16">
        <v>23.33</v>
      </c>
    </row>
    <row r="41" spans="1:19" x14ac:dyDescent="0.2">
      <c r="A41" s="14"/>
      <c r="B41" s="14">
        <v>23</v>
      </c>
      <c r="C41" s="16">
        <v>37.944000000000003</v>
      </c>
      <c r="D41" s="16">
        <v>46.88</v>
      </c>
      <c r="E41" s="16">
        <v>36.843999999999994</v>
      </c>
      <c r="F41" s="16">
        <v>203.56</v>
      </c>
      <c r="G41" s="16">
        <v>148.62700000000001</v>
      </c>
      <c r="H41" s="16">
        <v>1418.1000000000001</v>
      </c>
      <c r="I41" s="16">
        <v>1037.7660000000001</v>
      </c>
      <c r="J41" s="16">
        <v>0.6018</v>
      </c>
      <c r="K41" s="16">
        <v>67.016999999999996</v>
      </c>
      <c r="L41" s="16">
        <v>1.482</v>
      </c>
      <c r="M41" s="16">
        <v>6.5339999999999998</v>
      </c>
      <c r="N41" s="16">
        <v>463.17400000000004</v>
      </c>
      <c r="O41" s="16">
        <v>683.19200000000001</v>
      </c>
      <c r="P41" s="16">
        <v>171.67500000000001</v>
      </c>
      <c r="Q41" s="16">
        <v>7.8779999999999992</v>
      </c>
      <c r="R41" s="16">
        <v>0.95700000000000007</v>
      </c>
      <c r="S41" s="16">
        <v>71.5</v>
      </c>
    </row>
    <row r="42" spans="1:19" x14ac:dyDescent="0.2">
      <c r="A42" s="14"/>
      <c r="B42" s="14">
        <v>24</v>
      </c>
      <c r="C42" s="16">
        <v>46.423000000000002</v>
      </c>
      <c r="D42" s="16">
        <v>31.9</v>
      </c>
      <c r="E42" s="16">
        <v>34.197999999999993</v>
      </c>
      <c r="F42" s="16">
        <v>211.82</v>
      </c>
      <c r="G42" s="16">
        <v>129.178</v>
      </c>
      <c r="H42" s="16">
        <v>1062.6100000000001</v>
      </c>
      <c r="I42" s="16">
        <v>1006.7380000000001</v>
      </c>
      <c r="J42" s="16">
        <v>22.613999999999997</v>
      </c>
      <c r="K42" s="16">
        <v>75.86</v>
      </c>
      <c r="L42" s="16">
        <v>24.132999999999999</v>
      </c>
      <c r="M42" s="16">
        <v>14.029</v>
      </c>
      <c r="N42" s="16">
        <v>432.28700000000003</v>
      </c>
      <c r="O42" s="16">
        <v>810.44200000000001</v>
      </c>
      <c r="P42" s="16">
        <v>426.51799999999992</v>
      </c>
      <c r="Q42" s="16">
        <v>16.954799999999999</v>
      </c>
      <c r="R42" s="16">
        <v>1.3069999999999999</v>
      </c>
      <c r="S42" s="16">
        <v>42.71</v>
      </c>
    </row>
    <row r="43" spans="1:19" x14ac:dyDescent="0.2">
      <c r="A43" s="14" t="s">
        <v>94</v>
      </c>
      <c r="B43" s="14"/>
      <c r="C43" s="16">
        <f>SUM(C37:C42)</f>
        <v>289.64099999999996</v>
      </c>
      <c r="D43" s="16"/>
      <c r="E43" s="16">
        <f t="shared" ref="E43:S43" si="6">SUM(E37:E42)</f>
        <v>236.34699999999998</v>
      </c>
      <c r="F43" s="16"/>
      <c r="G43" s="16">
        <f t="shared" si="6"/>
        <v>946.71399999999983</v>
      </c>
      <c r="H43" s="16"/>
      <c r="I43" s="17">
        <f>SUM(I37:I42)</f>
        <v>6796.6084999999994</v>
      </c>
      <c r="J43" s="16">
        <f t="shared" si="6"/>
        <v>28.387299999999996</v>
      </c>
      <c r="K43" s="17">
        <f t="shared" si="6"/>
        <v>567.11500000000001</v>
      </c>
      <c r="L43" s="16">
        <f t="shared" si="6"/>
        <v>31.988999999999997</v>
      </c>
      <c r="M43" s="16">
        <f t="shared" si="6"/>
        <v>47.815600000000003</v>
      </c>
      <c r="N43" s="17">
        <f t="shared" si="6"/>
        <v>2480.299</v>
      </c>
      <c r="O43" s="17">
        <f t="shared" si="6"/>
        <v>4456.1100000000006</v>
      </c>
      <c r="P43" s="16">
        <f t="shared" si="6"/>
        <v>1407.1239999999998</v>
      </c>
      <c r="Q43" s="16">
        <f t="shared" si="6"/>
        <v>72.502200000000002</v>
      </c>
      <c r="R43" s="16">
        <f t="shared" si="6"/>
        <v>7.4619999999999997</v>
      </c>
      <c r="S43" s="16">
        <f t="shared" si="6"/>
        <v>248.23</v>
      </c>
    </row>
    <row r="44" spans="1:19" ht="15" x14ac:dyDescent="0.25">
      <c r="A44" s="14" t="s">
        <v>95</v>
      </c>
      <c r="B44" s="14"/>
      <c r="C44" s="18">
        <f>C43/6</f>
        <v>48.273499999999991</v>
      </c>
      <c r="D44" s="18"/>
      <c r="E44" s="16">
        <f t="shared" ref="E44:S44" si="7">E43/6</f>
        <v>39.391166666666663</v>
      </c>
      <c r="F44" s="16"/>
      <c r="G44" s="18">
        <f t="shared" si="7"/>
        <v>157.78566666666663</v>
      </c>
      <c r="H44" s="18"/>
      <c r="I44" s="17">
        <f t="shared" si="7"/>
        <v>1132.7680833333332</v>
      </c>
      <c r="J44" s="18">
        <f t="shared" si="7"/>
        <v>4.7312166666666657</v>
      </c>
      <c r="K44" s="19">
        <f t="shared" si="7"/>
        <v>94.519166666666663</v>
      </c>
      <c r="L44" s="18">
        <f t="shared" si="7"/>
        <v>5.3314999999999992</v>
      </c>
      <c r="M44" s="18">
        <f t="shared" si="7"/>
        <v>7.9692666666666669</v>
      </c>
      <c r="N44" s="19">
        <f t="shared" si="7"/>
        <v>413.38316666666668</v>
      </c>
      <c r="O44" s="19">
        <f t="shared" si="7"/>
        <v>742.68500000000006</v>
      </c>
      <c r="P44" s="18">
        <f t="shared" si="7"/>
        <v>234.52066666666664</v>
      </c>
      <c r="Q44" s="18">
        <f t="shared" si="7"/>
        <v>12.0837</v>
      </c>
      <c r="R44" s="18">
        <f t="shared" si="7"/>
        <v>1.2436666666666667</v>
      </c>
      <c r="S44" s="18">
        <f t="shared" si="7"/>
        <v>41.371666666666663</v>
      </c>
    </row>
    <row r="45" spans="1:19" x14ac:dyDescent="0.2">
      <c r="A45" s="20" t="s">
        <v>97</v>
      </c>
      <c r="B45" s="20"/>
      <c r="C45" s="21">
        <f>90*60/100</f>
        <v>54</v>
      </c>
      <c r="D45" s="21"/>
      <c r="E45" s="21">
        <f>92*60/100</f>
        <v>55.2</v>
      </c>
      <c r="F45" s="21"/>
      <c r="G45" s="21">
        <f>383*60/100</f>
        <v>229.8</v>
      </c>
      <c r="H45" s="21"/>
      <c r="I45" s="22">
        <f>2713*60/100</f>
        <v>1627.8</v>
      </c>
      <c r="J45" s="21">
        <f>1.4*60/100</f>
        <v>0.84</v>
      </c>
      <c r="K45" s="22">
        <f>70*60/100</f>
        <v>42</v>
      </c>
      <c r="L45" s="21">
        <f>0.9*60/100</f>
        <v>0.54</v>
      </c>
      <c r="M45" s="21">
        <f>12*60/100</f>
        <v>7.2</v>
      </c>
      <c r="N45" s="22">
        <f>1200*60/100</f>
        <v>720</v>
      </c>
      <c r="O45" s="22">
        <f>1800*60/100</f>
        <v>1080</v>
      </c>
      <c r="P45" s="21">
        <f>300*60/100</f>
        <v>180</v>
      </c>
      <c r="Q45" s="21">
        <f>17*60/100</f>
        <v>10.199999999999999</v>
      </c>
      <c r="R45" s="34">
        <v>1.1200000000000001</v>
      </c>
      <c r="S45" s="34">
        <v>84</v>
      </c>
    </row>
    <row r="46" spans="1:19" x14ac:dyDescent="0.2">
      <c r="A46" s="20" t="s">
        <v>155</v>
      </c>
      <c r="B46" s="20"/>
      <c r="C46" s="21">
        <f>90*50/100</f>
        <v>45</v>
      </c>
      <c r="D46" s="21"/>
      <c r="E46" s="21">
        <f>92*50/100</f>
        <v>46</v>
      </c>
      <c r="F46" s="21"/>
      <c r="G46" s="21">
        <f>383*50/100</f>
        <v>191.5</v>
      </c>
      <c r="H46" s="21"/>
      <c r="I46" s="22">
        <f>2713*50/100</f>
        <v>1356.5</v>
      </c>
      <c r="J46" s="21">
        <f>1.4*50/100</f>
        <v>0.7</v>
      </c>
      <c r="K46" s="22">
        <f>70*50/100</f>
        <v>35</v>
      </c>
      <c r="L46" s="21">
        <f>0.9*50/100</f>
        <v>0.45</v>
      </c>
      <c r="M46" s="21">
        <f>12*50/100</f>
        <v>6</v>
      </c>
      <c r="N46" s="22">
        <f>1200*50/100</f>
        <v>600</v>
      </c>
      <c r="O46" s="22">
        <f>1800*50/100</f>
        <v>900</v>
      </c>
      <c r="P46" s="21">
        <f>300*50/100</f>
        <v>150</v>
      </c>
      <c r="Q46" s="21">
        <f>17*50/100</f>
        <v>8.5</v>
      </c>
      <c r="R46" s="34">
        <v>0.96</v>
      </c>
      <c r="S46" s="34">
        <v>72</v>
      </c>
    </row>
    <row r="47" spans="1:19" ht="15" x14ac:dyDescent="0.25">
      <c r="A47" s="20" t="s">
        <v>98</v>
      </c>
      <c r="B47" s="20"/>
      <c r="C47" s="21">
        <f>C44/C44</f>
        <v>1</v>
      </c>
      <c r="D47" s="21"/>
      <c r="E47" s="21">
        <f>E44/C44</f>
        <v>0.81599980665720673</v>
      </c>
      <c r="F47" s="21"/>
      <c r="G47" s="21">
        <f>G44/C44</f>
        <v>3.2685773077706539</v>
      </c>
      <c r="H47" s="21"/>
      <c r="I47" s="22"/>
      <c r="J47" s="21"/>
      <c r="K47" s="22"/>
      <c r="L47" s="21"/>
      <c r="M47" s="21"/>
      <c r="N47" s="22">
        <f>N44/N44</f>
        <v>1</v>
      </c>
      <c r="O47" s="23">
        <f>O44/N44</f>
        <v>1.7966019419432899</v>
      </c>
      <c r="P47" s="21"/>
      <c r="Q47" s="21"/>
      <c r="R47" s="7"/>
      <c r="S47" s="7"/>
    </row>
    <row r="48" spans="1:19" x14ac:dyDescent="0.2">
      <c r="A48" s="24" t="s">
        <v>102</v>
      </c>
      <c r="B48" s="14"/>
      <c r="C48" s="16">
        <f>C10+C21+C32+C43</f>
        <v>1057.6100000000001</v>
      </c>
      <c r="D48" s="16"/>
      <c r="E48" s="16">
        <f>E10+E21+E32+E43</f>
        <v>856.72799999999995</v>
      </c>
      <c r="F48" s="16"/>
      <c r="G48" s="16">
        <f>G10+G21+G32+G43</f>
        <v>3939.384</v>
      </c>
      <c r="H48" s="16"/>
      <c r="I48" s="17">
        <f t="shared" ref="I48:S48" si="8">I10+I21+I32+I43</f>
        <v>26980.462999999996</v>
      </c>
      <c r="J48" s="16">
        <f t="shared" si="8"/>
        <v>108.75859999999999</v>
      </c>
      <c r="K48" s="17">
        <f t="shared" si="8"/>
        <v>2486.9555</v>
      </c>
      <c r="L48" s="16">
        <f t="shared" si="8"/>
        <v>102.64443199999999</v>
      </c>
      <c r="M48" s="16">
        <f t="shared" si="8"/>
        <v>216.4282</v>
      </c>
      <c r="N48" s="17">
        <f t="shared" si="8"/>
        <v>9303.9894999999997</v>
      </c>
      <c r="O48" s="17">
        <f t="shared" si="8"/>
        <v>15533.605</v>
      </c>
      <c r="P48" s="16">
        <f t="shared" si="8"/>
        <v>4851.7880000000005</v>
      </c>
      <c r="Q48" s="16">
        <f t="shared" si="8"/>
        <v>245.35000000000002</v>
      </c>
      <c r="R48" s="16">
        <f t="shared" si="8"/>
        <v>22.059000000000001</v>
      </c>
      <c r="S48" s="16">
        <f t="shared" si="8"/>
        <v>964.96</v>
      </c>
    </row>
    <row r="49" spans="1:19" ht="15" x14ac:dyDescent="0.25">
      <c r="A49" s="14"/>
      <c r="B49" s="14"/>
      <c r="C49" s="16">
        <f>C48/24</f>
        <v>44.067083333333336</v>
      </c>
      <c r="D49" s="16"/>
      <c r="E49" s="18">
        <f t="shared" ref="E49:S49" si="9">E48/24</f>
        <v>35.696999999999996</v>
      </c>
      <c r="F49" s="18"/>
      <c r="G49" s="18">
        <f t="shared" si="9"/>
        <v>164.14099999999999</v>
      </c>
      <c r="H49" s="18"/>
      <c r="I49" s="17">
        <f>I48/24</f>
        <v>1124.1859583333332</v>
      </c>
      <c r="J49" s="18">
        <f t="shared" si="9"/>
        <v>4.5316083333333328</v>
      </c>
      <c r="K49" s="17">
        <f t="shared" si="9"/>
        <v>103.62314583333334</v>
      </c>
      <c r="L49" s="18">
        <f t="shared" si="9"/>
        <v>4.2768513333333331</v>
      </c>
      <c r="M49" s="16">
        <f t="shared" si="9"/>
        <v>9.0178416666666674</v>
      </c>
      <c r="N49" s="19">
        <f t="shared" si="9"/>
        <v>387.66622916666665</v>
      </c>
      <c r="O49" s="19">
        <f t="shared" si="9"/>
        <v>647.23354166666661</v>
      </c>
      <c r="P49" s="18">
        <f t="shared" si="9"/>
        <v>202.15783333333334</v>
      </c>
      <c r="Q49" s="18">
        <f t="shared" si="9"/>
        <v>10.222916666666668</v>
      </c>
      <c r="R49" s="18">
        <f t="shared" si="9"/>
        <v>0.91912500000000008</v>
      </c>
      <c r="S49" s="18">
        <f t="shared" si="9"/>
        <v>40.206666666666671</v>
      </c>
    </row>
    <row r="50" spans="1:19" x14ac:dyDescent="0.2">
      <c r="A50" s="20" t="s">
        <v>97</v>
      </c>
      <c r="B50" s="20"/>
      <c r="C50" s="21">
        <f>90*60/100</f>
        <v>54</v>
      </c>
      <c r="D50" s="21"/>
      <c r="E50" s="21">
        <f>92*60/100</f>
        <v>55.2</v>
      </c>
      <c r="F50" s="21"/>
      <c r="G50" s="21">
        <f>383*60/100</f>
        <v>229.8</v>
      </c>
      <c r="H50" s="21"/>
      <c r="I50" s="22">
        <f>2713*60/100</f>
        <v>1627.8</v>
      </c>
      <c r="J50" s="21">
        <f>1.4*60/100</f>
        <v>0.84</v>
      </c>
      <c r="K50" s="22">
        <f>70*60/100</f>
        <v>42</v>
      </c>
      <c r="L50" s="21">
        <f>0.9*60/100</f>
        <v>0.54</v>
      </c>
      <c r="M50" s="21">
        <f>12*60/100</f>
        <v>7.2</v>
      </c>
      <c r="N50" s="22">
        <f>1200*60/100</f>
        <v>720</v>
      </c>
      <c r="O50" s="22">
        <f>1800*60/100</f>
        <v>1080</v>
      </c>
      <c r="P50" s="21">
        <f>300*60/100</f>
        <v>180</v>
      </c>
      <c r="Q50" s="21">
        <f>17*60/100</f>
        <v>10.199999999999999</v>
      </c>
      <c r="R50" s="34">
        <v>1.1200000000000001</v>
      </c>
      <c r="S50" s="34">
        <v>84</v>
      </c>
    </row>
    <row r="51" spans="1:19" x14ac:dyDescent="0.2">
      <c r="A51" s="20" t="s">
        <v>155</v>
      </c>
      <c r="B51" s="20"/>
      <c r="C51" s="21">
        <f>90*50/100</f>
        <v>45</v>
      </c>
      <c r="D51" s="21"/>
      <c r="E51" s="21">
        <f>92*50/100</f>
        <v>46</v>
      </c>
      <c r="F51" s="21"/>
      <c r="G51" s="21">
        <f>383*50/100</f>
        <v>191.5</v>
      </c>
      <c r="H51" s="21"/>
      <c r="I51" s="22">
        <f>2713*50/100</f>
        <v>1356.5</v>
      </c>
      <c r="J51" s="21">
        <f>1.4*50/100</f>
        <v>0.7</v>
      </c>
      <c r="K51" s="22">
        <f>70*50/100</f>
        <v>35</v>
      </c>
      <c r="L51" s="21">
        <f>0.9*50/100</f>
        <v>0.45</v>
      </c>
      <c r="M51" s="21">
        <f>12*50/100</f>
        <v>6</v>
      </c>
      <c r="N51" s="22">
        <f>1200*50/100</f>
        <v>600</v>
      </c>
      <c r="O51" s="22">
        <f>1800*50/100</f>
        <v>900</v>
      </c>
      <c r="P51" s="21">
        <f>300*50/100</f>
        <v>150</v>
      </c>
      <c r="Q51" s="21">
        <f>17*50/100</f>
        <v>8.5</v>
      </c>
      <c r="R51" s="34">
        <v>0.96</v>
      </c>
      <c r="S51" s="34">
        <v>72</v>
      </c>
    </row>
    <row r="52" spans="1:19" ht="15" x14ac:dyDescent="0.25">
      <c r="A52" s="20" t="s">
        <v>98</v>
      </c>
      <c r="B52" s="20"/>
      <c r="C52" s="21">
        <f>C49/C49</f>
        <v>1</v>
      </c>
      <c r="D52" s="21"/>
      <c r="E52" s="21">
        <f>E49/C49</f>
        <v>0.81006041924717032</v>
      </c>
      <c r="F52" s="21"/>
      <c r="G52" s="21">
        <f>G49/C49</f>
        <v>3.7247983661274002</v>
      </c>
      <c r="H52" s="21"/>
      <c r="I52" s="22"/>
      <c r="J52" s="21"/>
      <c r="K52" s="22"/>
      <c r="L52" s="21"/>
      <c r="M52" s="21"/>
      <c r="N52" s="22">
        <f>N49/N49</f>
        <v>1</v>
      </c>
      <c r="O52" s="23">
        <f>O49/N49</f>
        <v>1.6695639005181593</v>
      </c>
      <c r="P52" s="21"/>
      <c r="Q52" s="21"/>
      <c r="R52" s="7"/>
      <c r="S52" s="7"/>
    </row>
  </sheetData>
  <pageMargins left="0.7" right="0.7" top="0.75" bottom="0.75" header="0.3" footer="0.3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6"/>
  <sheetViews>
    <sheetView workbookViewId="0">
      <selection activeCell="I27" sqref="I27"/>
    </sheetView>
  </sheetViews>
  <sheetFormatPr defaultRowHeight="12.75" x14ac:dyDescent="0.2"/>
  <cols>
    <col min="4" max="4" width="0" hidden="1" customWidth="1"/>
    <col min="6" max="6" width="0" hidden="1" customWidth="1"/>
    <col min="8" max="8" width="0" hidden="1" customWidth="1"/>
  </cols>
  <sheetData>
    <row r="2" spans="1:19" ht="15" x14ac:dyDescent="0.25">
      <c r="A2" s="9" t="s">
        <v>156</v>
      </c>
      <c r="C2" s="7"/>
      <c r="D2" s="7"/>
      <c r="E2" s="7"/>
      <c r="F2" s="7"/>
      <c r="G2" s="7"/>
      <c r="H2" s="7"/>
      <c r="I2" s="8"/>
      <c r="J2" s="7"/>
      <c r="K2" s="8"/>
      <c r="L2" s="7"/>
      <c r="M2" s="7"/>
      <c r="N2" s="8"/>
      <c r="O2" s="8"/>
      <c r="P2" s="7"/>
      <c r="Q2" s="7"/>
      <c r="R2" s="7"/>
      <c r="S2" s="29"/>
    </row>
    <row r="3" spans="1:19" ht="15" x14ac:dyDescent="0.25">
      <c r="A3" s="10" t="s">
        <v>85</v>
      </c>
      <c r="B3" s="10" t="s">
        <v>86</v>
      </c>
      <c r="C3" s="11" t="s">
        <v>87</v>
      </c>
      <c r="D3" s="11"/>
      <c r="E3" s="11" t="s">
        <v>88</v>
      </c>
      <c r="F3" s="11"/>
      <c r="G3" s="11" t="s">
        <v>89</v>
      </c>
      <c r="H3" s="11"/>
      <c r="I3" s="12" t="s">
        <v>9</v>
      </c>
      <c r="J3" s="11" t="s">
        <v>90</v>
      </c>
      <c r="K3" s="12" t="s">
        <v>24</v>
      </c>
      <c r="L3" s="11" t="s">
        <v>25</v>
      </c>
      <c r="M3" s="11" t="s">
        <v>91</v>
      </c>
      <c r="N3" s="12" t="s">
        <v>27</v>
      </c>
      <c r="O3" s="12" t="s">
        <v>92</v>
      </c>
      <c r="P3" s="11" t="s">
        <v>29</v>
      </c>
      <c r="Q3" s="11" t="s">
        <v>30</v>
      </c>
      <c r="R3" s="13" t="s">
        <v>106</v>
      </c>
      <c r="S3" s="30" t="s">
        <v>107</v>
      </c>
    </row>
    <row r="4" spans="1:19" x14ac:dyDescent="0.2">
      <c r="A4" s="14" t="s">
        <v>93</v>
      </c>
      <c r="B4" s="14">
        <v>1</v>
      </c>
      <c r="C4" s="15">
        <v>41.664000000000001</v>
      </c>
      <c r="D4" s="15">
        <v>43.7</v>
      </c>
      <c r="E4" s="15">
        <v>32.299999999999997</v>
      </c>
      <c r="F4" s="15">
        <v>288.39999999999998</v>
      </c>
      <c r="G4" s="15">
        <v>174.13800000000001</v>
      </c>
      <c r="H4" s="15">
        <v>1814.8</v>
      </c>
      <c r="I4" s="15">
        <v>1137.0029999999999</v>
      </c>
      <c r="J4" s="15">
        <v>0.86599999999999999</v>
      </c>
      <c r="K4" s="15">
        <v>74.850999999999999</v>
      </c>
      <c r="L4" s="15">
        <v>7.2999999999999995E-2</v>
      </c>
      <c r="M4" s="15">
        <v>3.5639999999999996</v>
      </c>
      <c r="N4" s="15">
        <v>261.68799999999999</v>
      </c>
      <c r="O4" s="15">
        <v>350.678</v>
      </c>
      <c r="P4" s="15">
        <v>135.71599999999998</v>
      </c>
      <c r="Q4" s="15">
        <v>5.9350000000000005</v>
      </c>
      <c r="R4" s="15">
        <v>0.54900000000000004</v>
      </c>
      <c r="S4" s="15"/>
    </row>
    <row r="5" spans="1:19" x14ac:dyDescent="0.2">
      <c r="A5" s="14"/>
      <c r="B5" s="14">
        <v>2</v>
      </c>
      <c r="C5" s="16">
        <v>56.433000000000007</v>
      </c>
      <c r="D5" s="16">
        <v>29.26</v>
      </c>
      <c r="E5" s="16">
        <v>27.846</v>
      </c>
      <c r="F5" s="16">
        <v>278.61</v>
      </c>
      <c r="G5" s="16">
        <v>154.92999999999998</v>
      </c>
      <c r="H5" s="16">
        <v>1644.67</v>
      </c>
      <c r="I5" s="16">
        <v>1071.278</v>
      </c>
      <c r="J5" s="16">
        <v>0.88</v>
      </c>
      <c r="K5" s="16">
        <v>46.170999999999992</v>
      </c>
      <c r="L5" s="16">
        <v>5.0170000000000003</v>
      </c>
      <c r="M5" s="16">
        <v>8.64</v>
      </c>
      <c r="N5" s="16">
        <v>324.14100000000002</v>
      </c>
      <c r="O5" s="16">
        <v>789.74599999999987</v>
      </c>
      <c r="P5" s="16">
        <v>225.75900000000001</v>
      </c>
      <c r="Q5" s="16">
        <v>15.822000000000001</v>
      </c>
      <c r="R5" s="16">
        <v>2.1210000000000004</v>
      </c>
      <c r="S5" s="16">
        <v>16.27</v>
      </c>
    </row>
    <row r="6" spans="1:19" x14ac:dyDescent="0.2">
      <c r="A6" s="14"/>
      <c r="B6" s="14">
        <v>3</v>
      </c>
      <c r="C6" s="16">
        <v>31.752000000000002</v>
      </c>
      <c r="D6" s="16">
        <v>22.18</v>
      </c>
      <c r="E6" s="16">
        <v>36.494999999999997</v>
      </c>
      <c r="F6" s="16">
        <v>233.46</v>
      </c>
      <c r="G6" s="16">
        <v>169.785</v>
      </c>
      <c r="H6" s="16">
        <v>1341.5</v>
      </c>
      <c r="I6" s="16">
        <v>1121.9480000000001</v>
      </c>
      <c r="J6" s="16">
        <v>1.0820000000000001</v>
      </c>
      <c r="K6" s="16">
        <v>80.393000000000001</v>
      </c>
      <c r="L6" s="16">
        <v>1.7690000000000001</v>
      </c>
      <c r="M6" s="16">
        <v>5.3179999999999996</v>
      </c>
      <c r="N6" s="16">
        <v>560.67200000000003</v>
      </c>
      <c r="O6" s="16">
        <v>770.77800000000002</v>
      </c>
      <c r="P6" s="16">
        <v>125.99</v>
      </c>
      <c r="Q6" s="16">
        <v>5.3698000000000006</v>
      </c>
      <c r="R6" s="16">
        <v>0.69899999999999995</v>
      </c>
      <c r="S6" s="16">
        <v>30.619999999999997</v>
      </c>
    </row>
    <row r="7" spans="1:19" x14ac:dyDescent="0.2">
      <c r="A7" s="14"/>
      <c r="B7" s="14">
        <v>4</v>
      </c>
      <c r="C7" s="16">
        <v>49.965000000000003</v>
      </c>
      <c r="D7" s="16">
        <v>29.5</v>
      </c>
      <c r="E7" s="16">
        <v>30.277999999999999</v>
      </c>
      <c r="F7" s="16">
        <v>360.59999999999997</v>
      </c>
      <c r="G7" s="16">
        <v>142.82900000000001</v>
      </c>
      <c r="H7" s="16">
        <v>1825.7</v>
      </c>
      <c r="I7" s="16">
        <v>1096.7889999999998</v>
      </c>
      <c r="J7" s="16">
        <v>0.82699999999999996</v>
      </c>
      <c r="K7" s="16">
        <v>157.886</v>
      </c>
      <c r="L7" s="16">
        <v>0.39</v>
      </c>
      <c r="M7" s="16">
        <v>10.208</v>
      </c>
      <c r="N7" s="16">
        <v>549.57299999999998</v>
      </c>
      <c r="O7" s="16">
        <v>628.22199999999998</v>
      </c>
      <c r="P7" s="16">
        <v>142.46199999999999</v>
      </c>
      <c r="Q7" s="16">
        <v>12.161000000000001</v>
      </c>
      <c r="R7" s="16">
        <v>0.69399999999999995</v>
      </c>
      <c r="S7" s="16">
        <v>24.34</v>
      </c>
    </row>
    <row r="8" spans="1:19" x14ac:dyDescent="0.2">
      <c r="A8" s="14"/>
      <c r="B8" s="14">
        <v>5</v>
      </c>
      <c r="C8" s="16">
        <v>35.792999999999992</v>
      </c>
      <c r="D8" s="16">
        <v>80.400000000000006</v>
      </c>
      <c r="E8" s="16">
        <v>34.607999999999997</v>
      </c>
      <c r="F8" s="16">
        <v>304.79999999999995</v>
      </c>
      <c r="G8" s="16">
        <v>174.66699999999997</v>
      </c>
      <c r="H8" s="16">
        <v>2235.44</v>
      </c>
      <c r="I8" s="16">
        <v>1202.6675</v>
      </c>
      <c r="J8" s="16">
        <v>0.72350000000000003</v>
      </c>
      <c r="K8" s="16">
        <v>125.52300000000001</v>
      </c>
      <c r="L8" s="16">
        <v>1.325</v>
      </c>
      <c r="M8" s="16">
        <v>2.9670000000000001</v>
      </c>
      <c r="N8" s="16">
        <v>357.60900000000004</v>
      </c>
      <c r="O8" s="16">
        <v>573.94600000000003</v>
      </c>
      <c r="P8" s="16">
        <v>188.47700000000003</v>
      </c>
      <c r="Q8" s="16">
        <v>11.263</v>
      </c>
      <c r="R8" s="16">
        <v>0.71099999999999997</v>
      </c>
      <c r="S8" s="16">
        <v>44.16</v>
      </c>
    </row>
    <row r="9" spans="1:19" x14ac:dyDescent="0.2">
      <c r="A9" s="14"/>
      <c r="B9" s="14">
        <v>6</v>
      </c>
      <c r="C9" s="16">
        <v>34.18</v>
      </c>
      <c r="D9" s="16">
        <v>24.18</v>
      </c>
      <c r="E9" s="16">
        <v>47.996000000000002</v>
      </c>
      <c r="F9" s="16">
        <v>194.26000000000002</v>
      </c>
      <c r="G9" s="16">
        <v>159.21599999999998</v>
      </c>
      <c r="H9" s="16">
        <v>1172.3</v>
      </c>
      <c r="I9" s="16">
        <v>1084.3539999999998</v>
      </c>
      <c r="J9" s="16">
        <v>0.81899999999999995</v>
      </c>
      <c r="K9" s="16">
        <v>69.575999999999993</v>
      </c>
      <c r="L9" s="16">
        <v>0.17</v>
      </c>
      <c r="M9" s="16">
        <v>14.166</v>
      </c>
      <c r="N9" s="16">
        <v>518.92899999999997</v>
      </c>
      <c r="O9" s="16">
        <v>695.78600000000006</v>
      </c>
      <c r="P9" s="16">
        <v>141.71199999999999</v>
      </c>
      <c r="Q9" s="16">
        <v>14.065</v>
      </c>
      <c r="R9" s="16">
        <v>0.55000000000000004</v>
      </c>
      <c r="S9" s="16">
        <v>31.450000000000003</v>
      </c>
    </row>
    <row r="10" spans="1:19" x14ac:dyDescent="0.2">
      <c r="A10" s="14" t="s">
        <v>94</v>
      </c>
      <c r="B10" s="14"/>
      <c r="C10" s="16">
        <f>SUM(C4:C9)</f>
        <v>249.78700000000003</v>
      </c>
      <c r="D10" s="16"/>
      <c r="E10" s="16">
        <f t="shared" ref="E10:S10" si="0">SUM(E4:E9)</f>
        <v>209.523</v>
      </c>
      <c r="F10" s="16"/>
      <c r="G10" s="16">
        <f t="shared" si="0"/>
        <v>975.56499999999994</v>
      </c>
      <c r="H10" s="16"/>
      <c r="I10" s="17">
        <f t="shared" si="0"/>
        <v>6714.039499999999</v>
      </c>
      <c r="J10" s="16">
        <f t="shared" si="0"/>
        <v>5.1975000000000007</v>
      </c>
      <c r="K10" s="17">
        <f t="shared" si="0"/>
        <v>554.4</v>
      </c>
      <c r="L10" s="16">
        <f t="shared" si="0"/>
        <v>8.7439999999999998</v>
      </c>
      <c r="M10" s="16">
        <f t="shared" si="0"/>
        <v>44.863</v>
      </c>
      <c r="N10" s="17">
        <f t="shared" si="0"/>
        <v>2572.6120000000001</v>
      </c>
      <c r="O10" s="17">
        <f t="shared" si="0"/>
        <v>3809.1559999999999</v>
      </c>
      <c r="P10" s="16">
        <f t="shared" si="0"/>
        <v>960.11599999999999</v>
      </c>
      <c r="Q10" s="16">
        <f t="shared" si="0"/>
        <v>64.615800000000007</v>
      </c>
      <c r="R10" s="16">
        <f t="shared" si="0"/>
        <v>5.3240000000000007</v>
      </c>
      <c r="S10" s="31">
        <f t="shared" si="0"/>
        <v>146.84</v>
      </c>
    </row>
    <row r="11" spans="1:19" ht="15" x14ac:dyDescent="0.25">
      <c r="A11" s="14" t="s">
        <v>95</v>
      </c>
      <c r="B11" s="14"/>
      <c r="C11" s="18">
        <f>C10/6</f>
        <v>41.631166666666672</v>
      </c>
      <c r="D11" s="18"/>
      <c r="E11" s="16">
        <f t="shared" ref="E11:S11" si="1">E10/6</f>
        <v>34.920499999999997</v>
      </c>
      <c r="F11" s="16"/>
      <c r="G11" s="18">
        <f t="shared" si="1"/>
        <v>162.59416666666667</v>
      </c>
      <c r="H11" s="18"/>
      <c r="I11" s="19">
        <f t="shared" si="1"/>
        <v>1119.0065833333331</v>
      </c>
      <c r="J11" s="16">
        <f t="shared" si="1"/>
        <v>0.86625000000000008</v>
      </c>
      <c r="K11" s="17">
        <f t="shared" si="1"/>
        <v>92.399999999999991</v>
      </c>
      <c r="L11" s="18">
        <f t="shared" si="1"/>
        <v>1.4573333333333334</v>
      </c>
      <c r="M11" s="18">
        <f t="shared" si="1"/>
        <v>7.4771666666666663</v>
      </c>
      <c r="N11" s="19">
        <f t="shared" si="1"/>
        <v>428.76866666666666</v>
      </c>
      <c r="O11" s="19">
        <f t="shared" si="1"/>
        <v>634.85933333333332</v>
      </c>
      <c r="P11" s="18">
        <f t="shared" si="1"/>
        <v>160.01933333333332</v>
      </c>
      <c r="Q11" s="18">
        <f t="shared" si="1"/>
        <v>10.769300000000001</v>
      </c>
      <c r="R11" s="18">
        <f t="shared" si="1"/>
        <v>0.88733333333333342</v>
      </c>
      <c r="S11" s="32">
        <f t="shared" si="1"/>
        <v>24.473333333333333</v>
      </c>
    </row>
    <row r="12" spans="1:19" hidden="1" x14ac:dyDescent="0.2">
      <c r="A12" s="25" t="s">
        <v>104</v>
      </c>
      <c r="B12" s="25"/>
      <c r="C12" s="26">
        <f>77*60/100</f>
        <v>46.2</v>
      </c>
      <c r="D12" s="26"/>
      <c r="E12" s="26">
        <f>79*60/100</f>
        <v>47.4</v>
      </c>
      <c r="F12" s="26"/>
      <c r="G12" s="26">
        <f>335*60/100</f>
        <v>201</v>
      </c>
      <c r="H12" s="26"/>
      <c r="I12" s="27">
        <f>2350*60/100</f>
        <v>1410</v>
      </c>
      <c r="J12" s="26">
        <f>1.2*60/100</f>
        <v>0.72</v>
      </c>
      <c r="K12" s="27">
        <f>60*60/100</f>
        <v>36</v>
      </c>
      <c r="L12" s="26">
        <f>0.7*60/100</f>
        <v>0.42</v>
      </c>
      <c r="M12" s="26">
        <f>10*60/100</f>
        <v>6</v>
      </c>
      <c r="N12" s="27">
        <f>1100*60/100</f>
        <v>660</v>
      </c>
      <c r="O12" s="27">
        <f>1650*60/100</f>
        <v>990</v>
      </c>
      <c r="P12" s="26">
        <f>250*60/100</f>
        <v>150</v>
      </c>
      <c r="Q12" s="26">
        <f>12*60/100</f>
        <v>7.2</v>
      </c>
      <c r="R12" s="28"/>
      <c r="S12" s="33"/>
    </row>
    <row r="13" spans="1:19" x14ac:dyDescent="0.2">
      <c r="A13" s="20" t="s">
        <v>97</v>
      </c>
      <c r="B13" s="20"/>
      <c r="C13" s="21">
        <f>90*60/100</f>
        <v>54</v>
      </c>
      <c r="D13" s="21"/>
      <c r="E13" s="21">
        <f>92*60/100</f>
        <v>55.2</v>
      </c>
      <c r="F13" s="21"/>
      <c r="G13" s="21">
        <f>383*60/100</f>
        <v>229.8</v>
      </c>
      <c r="H13" s="21"/>
      <c r="I13" s="22">
        <f>2713*60/100</f>
        <v>1627.8</v>
      </c>
      <c r="J13" s="21">
        <f>1.4*60/100</f>
        <v>0.84</v>
      </c>
      <c r="K13" s="22">
        <f>70*60/100</f>
        <v>42</v>
      </c>
      <c r="L13" s="21">
        <f>0.9*60/100</f>
        <v>0.54</v>
      </c>
      <c r="M13" s="21">
        <f>12*60/100</f>
        <v>7.2</v>
      </c>
      <c r="N13" s="22">
        <f>1200*60/100</f>
        <v>720</v>
      </c>
      <c r="O13" s="22">
        <f>1800*60/100</f>
        <v>1080</v>
      </c>
      <c r="P13" s="21">
        <f>300*60/100</f>
        <v>180</v>
      </c>
      <c r="Q13" s="21">
        <f>17*60/100</f>
        <v>10.199999999999999</v>
      </c>
      <c r="R13" s="34">
        <v>1.1200000000000001</v>
      </c>
      <c r="S13" s="34">
        <v>84</v>
      </c>
    </row>
    <row r="14" spans="1:19" x14ac:dyDescent="0.2">
      <c r="A14" s="20" t="s">
        <v>155</v>
      </c>
      <c r="B14" s="20"/>
      <c r="C14" s="21">
        <f>90*50/100</f>
        <v>45</v>
      </c>
      <c r="D14" s="21"/>
      <c r="E14" s="21">
        <f>92*50/100</f>
        <v>46</v>
      </c>
      <c r="F14" s="21"/>
      <c r="G14" s="21">
        <f>383*50/100</f>
        <v>191.5</v>
      </c>
      <c r="H14" s="21"/>
      <c r="I14" s="22">
        <f>2713*50/100</f>
        <v>1356.5</v>
      </c>
      <c r="J14" s="21">
        <f>1.4*50/100</f>
        <v>0.7</v>
      </c>
      <c r="K14" s="22">
        <f>70*50/100</f>
        <v>35</v>
      </c>
      <c r="L14" s="21">
        <f>0.9*50/100</f>
        <v>0.45</v>
      </c>
      <c r="M14" s="21">
        <f>12*50/100</f>
        <v>6</v>
      </c>
      <c r="N14" s="22">
        <f>1200*50/100</f>
        <v>600</v>
      </c>
      <c r="O14" s="22">
        <f>1800*50/100</f>
        <v>900</v>
      </c>
      <c r="P14" s="21">
        <f>300*50/100</f>
        <v>150</v>
      </c>
      <c r="Q14" s="21">
        <f>17*50/100</f>
        <v>8.5</v>
      </c>
      <c r="R14" s="34">
        <v>0.96</v>
      </c>
      <c r="S14" s="34">
        <v>72</v>
      </c>
    </row>
    <row r="15" spans="1:19" ht="15" x14ac:dyDescent="0.25">
      <c r="A15" s="20" t="s">
        <v>98</v>
      </c>
      <c r="B15" s="20"/>
      <c r="C15" s="21">
        <f>C12/C12</f>
        <v>1</v>
      </c>
      <c r="D15" s="21"/>
      <c r="E15" s="21">
        <f>E12/C12</f>
        <v>1.025974025974026</v>
      </c>
      <c r="F15" s="21"/>
      <c r="G15" s="21">
        <f>G12/C12</f>
        <v>4.3506493506493502</v>
      </c>
      <c r="H15" s="21"/>
      <c r="I15" s="22"/>
      <c r="J15" s="21"/>
      <c r="K15" s="22"/>
      <c r="L15" s="21"/>
      <c r="M15" s="21"/>
      <c r="N15" s="22">
        <f>N12/N12</f>
        <v>1</v>
      </c>
      <c r="O15" s="23">
        <f>O12/N12</f>
        <v>1.5</v>
      </c>
      <c r="P15" s="21"/>
      <c r="Q15" s="21"/>
      <c r="R15" s="7"/>
      <c r="S15" s="7"/>
    </row>
    <row r="16" spans="1:19" x14ac:dyDescent="0.2">
      <c r="A16" s="14" t="s">
        <v>99</v>
      </c>
      <c r="B16" s="14">
        <v>7</v>
      </c>
      <c r="C16" s="15">
        <v>35.777999999999999</v>
      </c>
      <c r="D16" s="15">
        <v>26.999999999999996</v>
      </c>
      <c r="E16" s="15">
        <v>36.667999999999992</v>
      </c>
      <c r="F16" s="15">
        <v>226.9</v>
      </c>
      <c r="G16" s="15">
        <v>169.74199999999999</v>
      </c>
      <c r="H16" s="15">
        <v>1313.5</v>
      </c>
      <c r="I16" s="15">
        <v>1177.7529999999999</v>
      </c>
      <c r="J16" s="15">
        <v>1.1399999999999999</v>
      </c>
      <c r="K16" s="15">
        <v>272.49700000000001</v>
      </c>
      <c r="L16" s="15">
        <v>1.5370000000000001</v>
      </c>
      <c r="M16" s="15">
        <v>8.5679999999999996</v>
      </c>
      <c r="N16" s="15">
        <v>496.47</v>
      </c>
      <c r="O16" s="15">
        <v>544.40800000000002</v>
      </c>
      <c r="P16" s="15">
        <v>105.562</v>
      </c>
      <c r="Q16" s="15">
        <v>6.6590000000000007</v>
      </c>
      <c r="R16" s="15">
        <v>0.86699999999999999</v>
      </c>
      <c r="S16" s="15">
        <v>27.67</v>
      </c>
    </row>
    <row r="17" spans="1:19" x14ac:dyDescent="0.2">
      <c r="A17" s="14"/>
      <c r="B17" s="14">
        <v>8</v>
      </c>
      <c r="C17" s="16">
        <v>49.105000000000004</v>
      </c>
      <c r="D17" s="16">
        <v>38</v>
      </c>
      <c r="E17" s="16">
        <v>40.165999999999997</v>
      </c>
      <c r="F17" s="16">
        <v>323.39999999999998</v>
      </c>
      <c r="G17" s="16">
        <v>138.49</v>
      </c>
      <c r="H17" s="16">
        <v>1896.8</v>
      </c>
      <c r="I17" s="16">
        <v>1154.0940000000001</v>
      </c>
      <c r="J17" s="16">
        <v>0.92200000000000015</v>
      </c>
      <c r="K17" s="16">
        <v>81.271000000000001</v>
      </c>
      <c r="L17" s="16">
        <v>0.88100000000000001</v>
      </c>
      <c r="M17" s="16">
        <v>4.7435999999999989</v>
      </c>
      <c r="N17" s="16">
        <v>264.61</v>
      </c>
      <c r="O17" s="16">
        <v>101.65200000000002</v>
      </c>
      <c r="P17" s="16">
        <v>69.352999999999994</v>
      </c>
      <c r="Q17" s="16">
        <v>3.0842000000000005</v>
      </c>
      <c r="R17" s="16">
        <v>0.40900000000000003</v>
      </c>
      <c r="S17" s="16">
        <v>17.869999999999997</v>
      </c>
    </row>
    <row r="18" spans="1:19" x14ac:dyDescent="0.2">
      <c r="A18" s="14"/>
      <c r="B18" s="14">
        <v>9</v>
      </c>
      <c r="C18" s="16">
        <v>31.817999999999998</v>
      </c>
      <c r="D18" s="16">
        <v>62</v>
      </c>
      <c r="E18" s="16">
        <v>34.478000000000002</v>
      </c>
      <c r="F18" s="16">
        <v>202.12</v>
      </c>
      <c r="G18" s="16">
        <v>144.24600000000001</v>
      </c>
      <c r="H18" s="16">
        <v>1463.51</v>
      </c>
      <c r="I18" s="16">
        <v>947.83600000000001</v>
      </c>
      <c r="J18" s="16">
        <v>21.752999999999997</v>
      </c>
      <c r="K18" s="16">
        <v>39.005000000000003</v>
      </c>
      <c r="L18" s="16">
        <v>26.217000000000002</v>
      </c>
      <c r="M18" s="16">
        <v>8.527000000000001</v>
      </c>
      <c r="N18" s="16">
        <v>250.12300000000005</v>
      </c>
      <c r="O18" s="16">
        <v>652.49299999999994</v>
      </c>
      <c r="P18" s="16">
        <v>275.733</v>
      </c>
      <c r="Q18" s="16">
        <v>12.347999999999999</v>
      </c>
      <c r="R18" s="16">
        <v>0.54500000000000004</v>
      </c>
      <c r="S18" s="16">
        <v>17.38</v>
      </c>
    </row>
    <row r="19" spans="1:19" x14ac:dyDescent="0.2">
      <c r="A19" s="14"/>
      <c r="B19" s="14">
        <v>10</v>
      </c>
      <c r="C19" s="16">
        <v>58.204999999999998</v>
      </c>
      <c r="D19" s="16">
        <v>62.1</v>
      </c>
      <c r="E19" s="16">
        <v>44.845999999999997</v>
      </c>
      <c r="F19" s="16">
        <v>269.2</v>
      </c>
      <c r="G19" s="16">
        <v>173.845</v>
      </c>
      <c r="H19" s="16">
        <v>1928.49</v>
      </c>
      <c r="I19" s="16">
        <v>1237.5435</v>
      </c>
      <c r="J19" s="16">
        <v>0.88050000000000006</v>
      </c>
      <c r="K19" s="16">
        <v>102.37099999999998</v>
      </c>
      <c r="L19" s="16">
        <v>0.27</v>
      </c>
      <c r="M19" s="16">
        <v>8.0179999999999989</v>
      </c>
      <c r="N19" s="16">
        <v>446.06700000000001</v>
      </c>
      <c r="O19" s="16">
        <v>755.47700000000009</v>
      </c>
      <c r="P19" s="16">
        <v>146.363</v>
      </c>
      <c r="Q19" s="16">
        <v>12.253800000000002</v>
      </c>
      <c r="R19" s="16">
        <v>0.73699999999999999</v>
      </c>
      <c r="S19" s="16">
        <v>15.860000000000001</v>
      </c>
    </row>
    <row r="20" spans="1:19" x14ac:dyDescent="0.2">
      <c r="A20" s="14"/>
      <c r="B20" s="14">
        <v>11</v>
      </c>
      <c r="C20" s="15">
        <v>31.756</v>
      </c>
      <c r="D20" s="15">
        <v>31.46</v>
      </c>
      <c r="E20" s="15">
        <v>18.773000000000003</v>
      </c>
      <c r="F20" s="15">
        <v>272.01</v>
      </c>
      <c r="G20" s="15">
        <v>173.917</v>
      </c>
      <c r="H20" s="15">
        <v>1640.17</v>
      </c>
      <c r="I20" s="15">
        <v>1002.748</v>
      </c>
      <c r="J20" s="15">
        <v>0.63500000000000001</v>
      </c>
      <c r="K20" s="15">
        <v>28.655000000000001</v>
      </c>
      <c r="L20" s="15">
        <v>2.1679999999999997</v>
      </c>
      <c r="M20" s="15">
        <v>4.5179999999999998</v>
      </c>
      <c r="N20" s="15">
        <v>436.38200000000006</v>
      </c>
      <c r="O20" s="15">
        <v>720.60400000000004</v>
      </c>
      <c r="P20" s="15">
        <v>259.74300000000005</v>
      </c>
      <c r="Q20" s="15">
        <v>10.268000000000001</v>
      </c>
      <c r="R20" s="15">
        <v>0.76500000000000001</v>
      </c>
      <c r="S20" s="15">
        <v>14.62</v>
      </c>
    </row>
    <row r="21" spans="1:19" x14ac:dyDescent="0.2">
      <c r="A21" s="14"/>
      <c r="B21" s="14">
        <v>12</v>
      </c>
      <c r="C21" s="16">
        <v>45.774000000000001</v>
      </c>
      <c r="D21" s="16">
        <v>46.86</v>
      </c>
      <c r="E21" s="16">
        <v>32.301999999999992</v>
      </c>
      <c r="F21" s="16">
        <v>303.61</v>
      </c>
      <c r="G21" s="16">
        <v>168.00399999999999</v>
      </c>
      <c r="H21" s="16">
        <v>1932.37</v>
      </c>
      <c r="I21" s="16">
        <v>1124.5419999999999</v>
      </c>
      <c r="J21" s="16">
        <v>1.413</v>
      </c>
      <c r="K21" s="16">
        <v>126.62</v>
      </c>
      <c r="L21" s="16">
        <v>3.7609999999999997</v>
      </c>
      <c r="M21" s="16">
        <v>14.851000000000001</v>
      </c>
      <c r="N21" s="16">
        <v>541.55700000000002</v>
      </c>
      <c r="O21" s="16">
        <v>1023.54</v>
      </c>
      <c r="P21" s="16">
        <v>165.36600000000001</v>
      </c>
      <c r="Q21" s="16">
        <v>17.771000000000001</v>
      </c>
      <c r="R21" s="16">
        <v>2.3180000000000005</v>
      </c>
      <c r="S21" s="16">
        <v>76.09</v>
      </c>
    </row>
    <row r="22" spans="1:19" x14ac:dyDescent="0.2">
      <c r="A22" s="14" t="s">
        <v>94</v>
      </c>
      <c r="B22" s="14"/>
      <c r="C22" s="16">
        <f t="shared" ref="C22:S22" si="2">SUM(C16:C21)</f>
        <v>252.43600000000001</v>
      </c>
      <c r="D22" s="16"/>
      <c r="E22" s="16">
        <f t="shared" si="2"/>
        <v>207.23299999999998</v>
      </c>
      <c r="F22" s="16"/>
      <c r="G22" s="16">
        <f t="shared" si="2"/>
        <v>968.24400000000003</v>
      </c>
      <c r="H22" s="16"/>
      <c r="I22" s="17">
        <f t="shared" si="2"/>
        <v>6644.5164999999997</v>
      </c>
      <c r="J22" s="16">
        <f t="shared" si="2"/>
        <v>26.743500000000001</v>
      </c>
      <c r="K22" s="17">
        <f t="shared" si="2"/>
        <v>650.41899999999998</v>
      </c>
      <c r="L22" s="16">
        <f t="shared" si="2"/>
        <v>34.834000000000003</v>
      </c>
      <c r="M22" s="16">
        <f t="shared" si="2"/>
        <v>49.2256</v>
      </c>
      <c r="N22" s="17">
        <f t="shared" si="2"/>
        <v>2435.2089999999998</v>
      </c>
      <c r="O22" s="17">
        <f t="shared" si="2"/>
        <v>3798.174</v>
      </c>
      <c r="P22" s="16">
        <f t="shared" si="2"/>
        <v>1022.12</v>
      </c>
      <c r="Q22" s="16">
        <f t="shared" si="2"/>
        <v>62.384</v>
      </c>
      <c r="R22" s="16">
        <f t="shared" si="2"/>
        <v>5.6410000000000009</v>
      </c>
      <c r="S22" s="31">
        <f t="shared" si="2"/>
        <v>169.49</v>
      </c>
    </row>
    <row r="23" spans="1:19" ht="15" x14ac:dyDescent="0.25">
      <c r="A23" s="14" t="s">
        <v>95</v>
      </c>
      <c r="B23" s="14"/>
      <c r="C23" s="18">
        <f t="shared" ref="C23:S23" si="3">C22/6</f>
        <v>42.07266666666667</v>
      </c>
      <c r="D23" s="18"/>
      <c r="E23" s="18">
        <f t="shared" si="3"/>
        <v>34.538833333333329</v>
      </c>
      <c r="F23" s="18"/>
      <c r="G23" s="18">
        <f t="shared" si="3"/>
        <v>161.374</v>
      </c>
      <c r="H23" s="18"/>
      <c r="I23" s="19">
        <f t="shared" si="3"/>
        <v>1107.4194166666666</v>
      </c>
      <c r="J23" s="18">
        <f t="shared" si="3"/>
        <v>4.4572500000000002</v>
      </c>
      <c r="K23" s="19">
        <f t="shared" si="3"/>
        <v>108.40316666666666</v>
      </c>
      <c r="L23" s="18">
        <f t="shared" si="3"/>
        <v>5.8056666666666672</v>
      </c>
      <c r="M23" s="18">
        <f t="shared" si="3"/>
        <v>8.2042666666666673</v>
      </c>
      <c r="N23" s="19">
        <f t="shared" si="3"/>
        <v>405.86816666666664</v>
      </c>
      <c r="O23" s="19">
        <f t="shared" si="3"/>
        <v>633.029</v>
      </c>
      <c r="P23" s="18">
        <f t="shared" si="3"/>
        <v>170.35333333333332</v>
      </c>
      <c r="Q23" s="18">
        <f t="shared" si="3"/>
        <v>10.397333333333334</v>
      </c>
      <c r="R23" s="18">
        <f t="shared" si="3"/>
        <v>0.94016666666666682</v>
      </c>
      <c r="S23" s="32">
        <f t="shared" si="3"/>
        <v>28.248333333333335</v>
      </c>
    </row>
    <row r="24" spans="1:19" hidden="1" x14ac:dyDescent="0.2">
      <c r="A24" s="25" t="s">
        <v>104</v>
      </c>
      <c r="B24" s="25"/>
      <c r="C24" s="26">
        <f>77*60/100</f>
        <v>46.2</v>
      </c>
      <c r="D24" s="26"/>
      <c r="E24" s="26">
        <f>79*60/100</f>
        <v>47.4</v>
      </c>
      <c r="F24" s="26"/>
      <c r="G24" s="26">
        <f>335*60/100</f>
        <v>201</v>
      </c>
      <c r="H24" s="26"/>
      <c r="I24" s="27">
        <f>2350*60/100</f>
        <v>1410</v>
      </c>
      <c r="J24" s="26">
        <f>1.2*60/100</f>
        <v>0.72</v>
      </c>
      <c r="K24" s="27">
        <f>60*60/100</f>
        <v>36</v>
      </c>
      <c r="L24" s="26">
        <f>0.7*60/100</f>
        <v>0.42</v>
      </c>
      <c r="M24" s="26">
        <f>10*60/100</f>
        <v>6</v>
      </c>
      <c r="N24" s="27">
        <f>1100*60/100</f>
        <v>660</v>
      </c>
      <c r="O24" s="27">
        <f>1650*60/100</f>
        <v>990</v>
      </c>
      <c r="P24" s="26">
        <f>250*60/100</f>
        <v>150</v>
      </c>
      <c r="Q24" s="26">
        <f>12*60/100</f>
        <v>7.2</v>
      </c>
      <c r="R24" s="28"/>
      <c r="S24" s="33"/>
    </row>
    <row r="25" spans="1:19" x14ac:dyDescent="0.2">
      <c r="A25" s="20" t="s">
        <v>97</v>
      </c>
      <c r="B25" s="20"/>
      <c r="C25" s="21">
        <f>90*60/100</f>
        <v>54</v>
      </c>
      <c r="D25" s="21"/>
      <c r="E25" s="21">
        <f>92*60/100</f>
        <v>55.2</v>
      </c>
      <c r="F25" s="21"/>
      <c r="G25" s="21">
        <f>383*60/100</f>
        <v>229.8</v>
      </c>
      <c r="H25" s="21"/>
      <c r="I25" s="22">
        <f>2713*60/100</f>
        <v>1627.8</v>
      </c>
      <c r="J25" s="21">
        <f>1.4*60/100</f>
        <v>0.84</v>
      </c>
      <c r="K25" s="22">
        <f>70*60/100</f>
        <v>42</v>
      </c>
      <c r="L25" s="21">
        <f>0.9*60/100</f>
        <v>0.54</v>
      </c>
      <c r="M25" s="21">
        <f>12*60/100</f>
        <v>7.2</v>
      </c>
      <c r="N25" s="22">
        <f>1200*60/100</f>
        <v>720</v>
      </c>
      <c r="O25" s="22">
        <f>1800*60/100</f>
        <v>1080</v>
      </c>
      <c r="P25" s="21">
        <f>300*60/100</f>
        <v>180</v>
      </c>
      <c r="Q25" s="21">
        <f>17*60/100</f>
        <v>10.199999999999999</v>
      </c>
      <c r="R25" s="34">
        <v>1.1200000000000001</v>
      </c>
      <c r="S25" s="34">
        <v>84</v>
      </c>
    </row>
    <row r="26" spans="1:19" x14ac:dyDescent="0.2">
      <c r="A26" s="20" t="s">
        <v>155</v>
      </c>
      <c r="B26" s="20"/>
      <c r="C26" s="21">
        <f>90*50/100</f>
        <v>45</v>
      </c>
      <c r="D26" s="21"/>
      <c r="E26" s="21">
        <f>92*50/100</f>
        <v>46</v>
      </c>
      <c r="F26" s="21"/>
      <c r="G26" s="21">
        <f>383*50/100</f>
        <v>191.5</v>
      </c>
      <c r="H26" s="21"/>
      <c r="I26" s="22">
        <f>2713*50/100</f>
        <v>1356.5</v>
      </c>
      <c r="J26" s="21">
        <f>1.4*50/100</f>
        <v>0.7</v>
      </c>
      <c r="K26" s="22">
        <f>70*50/100</f>
        <v>35</v>
      </c>
      <c r="L26" s="21">
        <f>0.9*50/100</f>
        <v>0.45</v>
      </c>
      <c r="M26" s="21">
        <f>12*50/100</f>
        <v>6</v>
      </c>
      <c r="N26" s="22">
        <f>1200*50/100</f>
        <v>600</v>
      </c>
      <c r="O26" s="22">
        <f>1800*50/100</f>
        <v>900</v>
      </c>
      <c r="P26" s="21">
        <f>300*50/100</f>
        <v>150</v>
      </c>
      <c r="Q26" s="21">
        <f>17*50/100</f>
        <v>8.5</v>
      </c>
      <c r="R26" s="34">
        <v>0.96</v>
      </c>
      <c r="S26" s="34">
        <v>72</v>
      </c>
    </row>
    <row r="27" spans="1:19" ht="15" x14ac:dyDescent="0.25">
      <c r="A27" s="20" t="s">
        <v>98</v>
      </c>
      <c r="B27" s="20"/>
      <c r="C27" s="21">
        <f>C24/C24</f>
        <v>1</v>
      </c>
      <c r="D27" s="21"/>
      <c r="E27" s="21">
        <f>E24/C24</f>
        <v>1.025974025974026</v>
      </c>
      <c r="F27" s="21"/>
      <c r="G27" s="21">
        <f>G24/C24</f>
        <v>4.3506493506493502</v>
      </c>
      <c r="H27" s="21"/>
      <c r="I27" s="22"/>
      <c r="J27" s="21"/>
      <c r="K27" s="22"/>
      <c r="L27" s="21"/>
      <c r="M27" s="21"/>
      <c r="N27" s="22">
        <f>N24/N24</f>
        <v>1</v>
      </c>
      <c r="O27" s="23">
        <f>O24/N24</f>
        <v>1.5</v>
      </c>
      <c r="P27" s="21"/>
      <c r="Q27" s="21"/>
      <c r="R27" s="7"/>
      <c r="S27" s="7"/>
    </row>
    <row r="28" spans="1:19" x14ac:dyDescent="0.2">
      <c r="A28" s="14" t="s">
        <v>100</v>
      </c>
      <c r="B28" s="14">
        <v>13</v>
      </c>
      <c r="C28" s="16">
        <v>46.853999999999999</v>
      </c>
      <c r="D28" s="16">
        <v>60.7</v>
      </c>
      <c r="E28" s="16">
        <v>54.77600000000001</v>
      </c>
      <c r="F28" s="16">
        <v>252.42000000000002</v>
      </c>
      <c r="G28" s="16">
        <v>133.78200000000001</v>
      </c>
      <c r="H28" s="16">
        <v>1721.71</v>
      </c>
      <c r="I28" s="16">
        <v>1201.7</v>
      </c>
      <c r="J28" s="16">
        <v>22.206</v>
      </c>
      <c r="K28" s="16">
        <v>51.543999999999997</v>
      </c>
      <c r="L28" s="16">
        <v>24.464715999999999</v>
      </c>
      <c r="M28" s="16">
        <v>12.145999999999999</v>
      </c>
      <c r="N28" s="16">
        <v>362.10599999999999</v>
      </c>
      <c r="O28" s="16">
        <v>645.72</v>
      </c>
      <c r="P28" s="16">
        <v>160.59800000000001</v>
      </c>
      <c r="Q28" s="16">
        <v>11.16</v>
      </c>
      <c r="R28" s="16">
        <v>0.60599999999999998</v>
      </c>
      <c r="S28" s="16">
        <v>24.939999999999998</v>
      </c>
    </row>
    <row r="29" spans="1:19" x14ac:dyDescent="0.2">
      <c r="A29" s="14"/>
      <c r="B29" s="14">
        <v>14</v>
      </c>
      <c r="C29" s="16">
        <v>43.358000000000004</v>
      </c>
      <c r="D29" s="16">
        <v>21.1</v>
      </c>
      <c r="E29" s="16">
        <v>29.635999999999996</v>
      </c>
      <c r="F29" s="16">
        <v>213.4</v>
      </c>
      <c r="G29" s="16">
        <v>141.25</v>
      </c>
      <c r="H29" s="16">
        <v>1278.3</v>
      </c>
      <c r="I29" s="16">
        <v>1018.8779999999999</v>
      </c>
      <c r="J29" s="16">
        <v>0.77199999999999991</v>
      </c>
      <c r="K29" s="16">
        <v>25.055</v>
      </c>
      <c r="L29" s="16">
        <v>1.8440000000000001</v>
      </c>
      <c r="M29" s="16">
        <v>14.374000000000001</v>
      </c>
      <c r="N29" s="16">
        <v>332.52500000000003</v>
      </c>
      <c r="O29" s="16">
        <v>590.28099999999995</v>
      </c>
      <c r="P29" s="16">
        <v>129.79000000000002</v>
      </c>
      <c r="Q29" s="16">
        <v>8.3099999999999987</v>
      </c>
      <c r="R29" s="16">
        <v>0.84499999999999997</v>
      </c>
      <c r="S29" s="16">
        <v>33.53</v>
      </c>
    </row>
    <row r="30" spans="1:19" x14ac:dyDescent="0.2">
      <c r="A30" s="14"/>
      <c r="B30" s="14">
        <v>15</v>
      </c>
      <c r="C30" s="16">
        <v>43.209000000000003</v>
      </c>
      <c r="D30" s="16">
        <v>49.760000000000005</v>
      </c>
      <c r="E30" s="16">
        <v>53.399999999999991</v>
      </c>
      <c r="F30" s="16">
        <v>351.10999999999996</v>
      </c>
      <c r="G30" s="16">
        <v>133.74899999999997</v>
      </c>
      <c r="H30" s="16">
        <v>2089.8199999999997</v>
      </c>
      <c r="I30" s="16">
        <v>1188.461</v>
      </c>
      <c r="J30" s="16">
        <v>0.76200000000000001</v>
      </c>
      <c r="K30" s="16">
        <v>151.73799999999997</v>
      </c>
      <c r="L30" s="16">
        <v>2.5469999999999997</v>
      </c>
      <c r="M30" s="16">
        <v>7.9850000000000003</v>
      </c>
      <c r="N30" s="16">
        <v>533.12</v>
      </c>
      <c r="O30" s="16">
        <v>658.26900000000001</v>
      </c>
      <c r="P30" s="16">
        <v>140.57900000000001</v>
      </c>
      <c r="Q30" s="16">
        <v>10.076000000000001</v>
      </c>
      <c r="R30" s="16">
        <v>0.87000000000000011</v>
      </c>
      <c r="S30" s="16">
        <v>46.3</v>
      </c>
    </row>
    <row r="31" spans="1:19" x14ac:dyDescent="0.2">
      <c r="A31" s="14"/>
      <c r="B31" s="14">
        <v>16</v>
      </c>
      <c r="C31" s="16">
        <v>47.495999999999995</v>
      </c>
      <c r="D31" s="16">
        <v>35.700000000000003</v>
      </c>
      <c r="E31" s="16">
        <v>41.673000000000002</v>
      </c>
      <c r="F31" s="16">
        <v>341.1</v>
      </c>
      <c r="G31" s="16">
        <v>183.51499999999999</v>
      </c>
      <c r="H31" s="16">
        <v>1818.3000000000002</v>
      </c>
      <c r="I31" s="16">
        <v>1198.6949999999999</v>
      </c>
      <c r="J31" s="16">
        <v>1.0740000000000001</v>
      </c>
      <c r="K31" s="16">
        <v>121.49</v>
      </c>
      <c r="L31" s="16">
        <v>1.8630000000000002</v>
      </c>
      <c r="M31" s="16">
        <v>19.402600000000003</v>
      </c>
      <c r="N31" s="16">
        <v>560.37300000000005</v>
      </c>
      <c r="O31" s="16">
        <v>759.04900000000009</v>
      </c>
      <c r="P31" s="16">
        <v>430.39099999999996</v>
      </c>
      <c r="Q31" s="16">
        <v>17.906200000000002</v>
      </c>
      <c r="R31" s="16">
        <v>0.99</v>
      </c>
      <c r="S31" s="16">
        <v>17.68</v>
      </c>
    </row>
    <row r="32" spans="1:19" x14ac:dyDescent="0.2">
      <c r="A32" s="14"/>
      <c r="B32" s="14">
        <v>17</v>
      </c>
      <c r="C32" s="16">
        <v>34.162999999999997</v>
      </c>
      <c r="D32" s="16">
        <v>49.300000000000004</v>
      </c>
      <c r="E32" s="16">
        <v>29.629999999999995</v>
      </c>
      <c r="F32" s="16">
        <v>224.29999999999998</v>
      </c>
      <c r="G32" s="16">
        <v>165.583</v>
      </c>
      <c r="H32" s="16">
        <v>1543.49</v>
      </c>
      <c r="I32" s="16">
        <v>1118.8274999999999</v>
      </c>
      <c r="J32" s="16">
        <v>0.49350000000000005</v>
      </c>
      <c r="K32" s="16">
        <v>60.827000000000005</v>
      </c>
      <c r="L32" s="16">
        <v>0.252</v>
      </c>
      <c r="M32" s="16">
        <v>2.1230000000000002</v>
      </c>
      <c r="N32" s="16">
        <v>385.93300000000005</v>
      </c>
      <c r="O32" s="16">
        <v>644.08600000000001</v>
      </c>
      <c r="P32" s="16">
        <v>148.423</v>
      </c>
      <c r="Q32" s="16">
        <v>10.234</v>
      </c>
      <c r="R32" s="16">
        <v>0.78800000000000003</v>
      </c>
      <c r="S32" s="16">
        <v>8.7999999999999989</v>
      </c>
    </row>
    <row r="33" spans="1:19" x14ac:dyDescent="0.2">
      <c r="A33" s="14"/>
      <c r="B33" s="14">
        <v>18</v>
      </c>
      <c r="C33" s="16">
        <v>49.472999999999999</v>
      </c>
      <c r="D33" s="16">
        <v>39.4</v>
      </c>
      <c r="E33" s="16">
        <v>34.925999999999995</v>
      </c>
      <c r="F33" s="16">
        <v>213.02</v>
      </c>
      <c r="G33" s="16">
        <v>159.63999999999999</v>
      </c>
      <c r="H33" s="16">
        <v>1317.3600000000001</v>
      </c>
      <c r="I33" s="16">
        <v>1184.2240000000002</v>
      </c>
      <c r="J33" s="16">
        <v>22.347999999999995</v>
      </c>
      <c r="K33" s="16">
        <v>269.25599999999997</v>
      </c>
      <c r="L33" s="16">
        <v>24.290999999999997</v>
      </c>
      <c r="M33" s="16">
        <v>21.288</v>
      </c>
      <c r="N33" s="16">
        <v>440.12200000000001</v>
      </c>
      <c r="O33" s="16">
        <v>882.63200000000006</v>
      </c>
      <c r="P33" s="16">
        <v>449.93799999999999</v>
      </c>
      <c r="Q33" s="16">
        <v>17.396000000000001</v>
      </c>
      <c r="R33" s="16">
        <v>0.81400000000000006</v>
      </c>
      <c r="S33" s="16">
        <v>57.449999999999996</v>
      </c>
    </row>
    <row r="34" spans="1:19" x14ac:dyDescent="0.2">
      <c r="A34" s="14" t="s">
        <v>94</v>
      </c>
      <c r="B34" s="14"/>
      <c r="C34" s="16">
        <f t="shared" ref="C34:S34" si="4">SUM(C28:C33)</f>
        <v>264.553</v>
      </c>
      <c r="D34" s="16"/>
      <c r="E34" s="16">
        <f t="shared" si="4"/>
        <v>244.041</v>
      </c>
      <c r="F34" s="16"/>
      <c r="G34" s="16">
        <f t="shared" si="4"/>
        <v>917.51900000000001</v>
      </c>
      <c r="H34" s="16"/>
      <c r="I34" s="17">
        <f t="shared" si="4"/>
        <v>6910.7855</v>
      </c>
      <c r="J34" s="16">
        <f t="shared" si="4"/>
        <v>47.655499999999996</v>
      </c>
      <c r="K34" s="17">
        <f t="shared" si="4"/>
        <v>679.90999999999985</v>
      </c>
      <c r="L34" s="16">
        <f t="shared" si="4"/>
        <v>55.261715999999993</v>
      </c>
      <c r="M34" s="16">
        <f t="shared" si="4"/>
        <v>77.318600000000004</v>
      </c>
      <c r="N34" s="17">
        <f t="shared" si="4"/>
        <v>2614.1790000000001</v>
      </c>
      <c r="O34" s="17">
        <f t="shared" si="4"/>
        <v>4180.0370000000003</v>
      </c>
      <c r="P34" s="16">
        <f t="shared" si="4"/>
        <v>1459.7190000000001</v>
      </c>
      <c r="Q34" s="16">
        <f t="shared" si="4"/>
        <v>75.0822</v>
      </c>
      <c r="R34" s="16">
        <f t="shared" si="4"/>
        <v>4.9130000000000003</v>
      </c>
      <c r="S34" s="31">
        <f t="shared" si="4"/>
        <v>188.7</v>
      </c>
    </row>
    <row r="35" spans="1:19" ht="15" x14ac:dyDescent="0.25">
      <c r="A35" s="14" t="s">
        <v>95</v>
      </c>
      <c r="B35" s="14"/>
      <c r="C35" s="18">
        <f t="shared" ref="C35:S35" si="5">C34/6</f>
        <v>44.092166666666664</v>
      </c>
      <c r="D35" s="18"/>
      <c r="E35" s="16">
        <f t="shared" si="5"/>
        <v>40.673499999999997</v>
      </c>
      <c r="F35" s="16"/>
      <c r="G35" s="18">
        <f t="shared" si="5"/>
        <v>152.91983333333334</v>
      </c>
      <c r="H35" s="18"/>
      <c r="I35" s="19">
        <f t="shared" si="5"/>
        <v>1151.7975833333333</v>
      </c>
      <c r="J35" s="18">
        <f t="shared" si="5"/>
        <v>7.9425833333333324</v>
      </c>
      <c r="K35" s="19">
        <f t="shared" si="5"/>
        <v>113.31833333333331</v>
      </c>
      <c r="L35" s="18">
        <f t="shared" si="5"/>
        <v>9.2102859999999982</v>
      </c>
      <c r="M35" s="18">
        <f t="shared" si="5"/>
        <v>12.886433333333335</v>
      </c>
      <c r="N35" s="19">
        <f t="shared" si="5"/>
        <v>435.69650000000001</v>
      </c>
      <c r="O35" s="19">
        <f t="shared" si="5"/>
        <v>696.67283333333341</v>
      </c>
      <c r="P35" s="18">
        <f t="shared" si="5"/>
        <v>243.28650000000002</v>
      </c>
      <c r="Q35" s="16">
        <f t="shared" si="5"/>
        <v>12.5137</v>
      </c>
      <c r="R35" s="16">
        <f t="shared" si="5"/>
        <v>0.81883333333333341</v>
      </c>
      <c r="S35" s="31">
        <f t="shared" si="5"/>
        <v>31.45</v>
      </c>
    </row>
    <row r="36" spans="1:19" hidden="1" x14ac:dyDescent="0.2">
      <c r="A36" s="25" t="s">
        <v>104</v>
      </c>
      <c r="B36" s="25"/>
      <c r="C36" s="26">
        <f>77*60/100</f>
        <v>46.2</v>
      </c>
      <c r="D36" s="26"/>
      <c r="E36" s="26">
        <f>79*60/100</f>
        <v>47.4</v>
      </c>
      <c r="F36" s="26"/>
      <c r="G36" s="26">
        <f>335*60/100</f>
        <v>201</v>
      </c>
      <c r="H36" s="26"/>
      <c r="I36" s="27">
        <f>2350*60/100</f>
        <v>1410</v>
      </c>
      <c r="J36" s="26">
        <f>1.2*60/100</f>
        <v>0.72</v>
      </c>
      <c r="K36" s="27">
        <f>60*60/100</f>
        <v>36</v>
      </c>
      <c r="L36" s="26">
        <f>0.7*60/100</f>
        <v>0.42</v>
      </c>
      <c r="M36" s="26">
        <f>10*60/100</f>
        <v>6</v>
      </c>
      <c r="N36" s="27">
        <f>1100*60/100</f>
        <v>660</v>
      </c>
      <c r="O36" s="27">
        <f>1650*60/100</f>
        <v>990</v>
      </c>
      <c r="P36" s="26">
        <f>250*60/100</f>
        <v>150</v>
      </c>
      <c r="Q36" s="26">
        <f>12*60/100</f>
        <v>7.2</v>
      </c>
      <c r="R36" s="28"/>
      <c r="S36" s="33"/>
    </row>
    <row r="37" spans="1:19" x14ac:dyDescent="0.2">
      <c r="A37" s="20" t="s">
        <v>97</v>
      </c>
      <c r="B37" s="20"/>
      <c r="C37" s="21">
        <f>90*60/100</f>
        <v>54</v>
      </c>
      <c r="D37" s="21"/>
      <c r="E37" s="21">
        <f>92*60/100</f>
        <v>55.2</v>
      </c>
      <c r="F37" s="21"/>
      <c r="G37" s="21">
        <f>383*60/100</f>
        <v>229.8</v>
      </c>
      <c r="H37" s="21"/>
      <c r="I37" s="22">
        <f>2713*60/100</f>
        <v>1627.8</v>
      </c>
      <c r="J37" s="21">
        <f>1.4*60/100</f>
        <v>0.84</v>
      </c>
      <c r="K37" s="22">
        <f>70*60/100</f>
        <v>42</v>
      </c>
      <c r="L37" s="21">
        <f>0.9*60/100</f>
        <v>0.54</v>
      </c>
      <c r="M37" s="21">
        <f>12*60/100</f>
        <v>7.2</v>
      </c>
      <c r="N37" s="22">
        <f>1200*60/100</f>
        <v>720</v>
      </c>
      <c r="O37" s="22">
        <f>1800*60/100</f>
        <v>1080</v>
      </c>
      <c r="P37" s="21">
        <f>300*60/100</f>
        <v>180</v>
      </c>
      <c r="Q37" s="21">
        <f>17*60/100</f>
        <v>10.199999999999999</v>
      </c>
      <c r="R37" s="34">
        <v>1.1200000000000001</v>
      </c>
      <c r="S37" s="34">
        <v>84</v>
      </c>
    </row>
    <row r="38" spans="1:19" x14ac:dyDescent="0.2">
      <c r="A38" s="20" t="s">
        <v>155</v>
      </c>
      <c r="B38" s="20"/>
      <c r="C38" s="21">
        <f>90*50/100</f>
        <v>45</v>
      </c>
      <c r="D38" s="21"/>
      <c r="E38" s="21">
        <f>92*50/100</f>
        <v>46</v>
      </c>
      <c r="F38" s="21"/>
      <c r="G38" s="21">
        <f>383*50/100</f>
        <v>191.5</v>
      </c>
      <c r="H38" s="21"/>
      <c r="I38" s="22">
        <f>2713*50/100</f>
        <v>1356.5</v>
      </c>
      <c r="J38" s="21">
        <f>1.4*50/100</f>
        <v>0.7</v>
      </c>
      <c r="K38" s="22">
        <f>70*50/100</f>
        <v>35</v>
      </c>
      <c r="L38" s="21">
        <f>0.9*50/100</f>
        <v>0.45</v>
      </c>
      <c r="M38" s="21">
        <f>12*50/100</f>
        <v>6</v>
      </c>
      <c r="N38" s="22">
        <f>1200*50/100</f>
        <v>600</v>
      </c>
      <c r="O38" s="22">
        <f>1800*50/100</f>
        <v>900</v>
      </c>
      <c r="P38" s="21">
        <f>300*50/100</f>
        <v>150</v>
      </c>
      <c r="Q38" s="21">
        <f>17*50/100</f>
        <v>8.5</v>
      </c>
      <c r="R38" s="34">
        <v>0.96</v>
      </c>
      <c r="S38" s="34">
        <v>72</v>
      </c>
    </row>
    <row r="39" spans="1:19" ht="15" x14ac:dyDescent="0.25">
      <c r="A39" s="20" t="s">
        <v>98</v>
      </c>
      <c r="B39" s="20"/>
      <c r="C39" s="21">
        <f>C36/C36</f>
        <v>1</v>
      </c>
      <c r="D39" s="21"/>
      <c r="E39" s="21">
        <f>E36/C36</f>
        <v>1.025974025974026</v>
      </c>
      <c r="F39" s="21"/>
      <c r="G39" s="21">
        <f>G36/C36</f>
        <v>4.3506493506493502</v>
      </c>
      <c r="H39" s="21"/>
      <c r="I39" s="22"/>
      <c r="J39" s="21"/>
      <c r="K39" s="22"/>
      <c r="L39" s="21"/>
      <c r="M39" s="21"/>
      <c r="N39" s="22">
        <f>N36/N36</f>
        <v>1</v>
      </c>
      <c r="O39" s="23">
        <f>O36/N36</f>
        <v>1.5</v>
      </c>
      <c r="P39" s="21"/>
      <c r="Q39" s="21"/>
      <c r="R39" s="7"/>
      <c r="S39" s="7"/>
    </row>
    <row r="40" spans="1:19" x14ac:dyDescent="0.2">
      <c r="A40" s="14" t="s">
        <v>101</v>
      </c>
      <c r="B40" s="14">
        <v>19</v>
      </c>
      <c r="C40" s="16">
        <v>29.328000000000003</v>
      </c>
      <c r="D40" s="16">
        <v>79.800000000000011</v>
      </c>
      <c r="E40" s="16">
        <v>39.058</v>
      </c>
      <c r="F40" s="16">
        <v>292.60000000000002</v>
      </c>
      <c r="G40" s="16">
        <v>106.03399999999999</v>
      </c>
      <c r="H40" s="16">
        <v>2018.09</v>
      </c>
      <c r="I40" s="16">
        <v>957.91849999999999</v>
      </c>
      <c r="J40" s="16">
        <v>0.84149999999999991</v>
      </c>
      <c r="K40" s="16">
        <v>39.081000000000003</v>
      </c>
      <c r="L40" s="16">
        <v>0.11799999999999999</v>
      </c>
      <c r="M40" s="16">
        <v>2.09</v>
      </c>
      <c r="N40" s="16">
        <v>252.91400000000002</v>
      </c>
      <c r="O40" s="16">
        <v>431.27499999999998</v>
      </c>
      <c r="P40" s="16">
        <v>126.11199999999999</v>
      </c>
      <c r="Q40" s="16">
        <v>12.246000000000002</v>
      </c>
      <c r="R40" s="16">
        <v>0.64700000000000002</v>
      </c>
      <c r="S40" s="16">
        <v>19.18</v>
      </c>
    </row>
    <row r="41" spans="1:19" x14ac:dyDescent="0.2">
      <c r="A41" s="14"/>
      <c r="B41" s="14">
        <v>20</v>
      </c>
      <c r="C41" s="16">
        <v>58.32</v>
      </c>
      <c r="D41" s="16">
        <v>39.200000000000003</v>
      </c>
      <c r="E41" s="16">
        <v>51.47</v>
      </c>
      <c r="F41" s="16">
        <v>265.09999999999997</v>
      </c>
      <c r="G41" s="16">
        <v>215.86</v>
      </c>
      <c r="H41" s="16">
        <v>1717.3</v>
      </c>
      <c r="I41" s="16">
        <v>1137.2600000000002</v>
      </c>
      <c r="J41" s="16">
        <v>1.0329999999999999</v>
      </c>
      <c r="K41" s="16">
        <v>84.5</v>
      </c>
      <c r="L41" s="16">
        <v>1.125</v>
      </c>
      <c r="M41" s="16">
        <v>6.9</v>
      </c>
      <c r="N41" s="16">
        <v>521.42000000000007</v>
      </c>
      <c r="O41" s="16">
        <v>778.66000000000008</v>
      </c>
      <c r="P41" s="16">
        <v>224.10500000000002</v>
      </c>
      <c r="Q41" s="16">
        <v>7.3221999999999996</v>
      </c>
      <c r="R41" s="16">
        <v>1.0699999999999998</v>
      </c>
      <c r="S41" s="16">
        <v>45.05</v>
      </c>
    </row>
    <row r="42" spans="1:19" x14ac:dyDescent="0.2">
      <c r="A42" s="14"/>
      <c r="B42" s="14">
        <v>21</v>
      </c>
      <c r="C42" s="16">
        <v>55.319999999999993</v>
      </c>
      <c r="D42" s="16">
        <v>32.200000000000003</v>
      </c>
      <c r="E42" s="16">
        <v>31.550999999999995</v>
      </c>
      <c r="F42" s="16">
        <v>255.70000000000002</v>
      </c>
      <c r="G42" s="16">
        <v>166.221</v>
      </c>
      <c r="H42" s="16">
        <v>1536.1</v>
      </c>
      <c r="I42" s="16">
        <v>1148.4290000000001</v>
      </c>
      <c r="J42" s="16">
        <v>1.2140000000000002</v>
      </c>
      <c r="K42" s="16">
        <v>173.10599999999999</v>
      </c>
      <c r="L42" s="16">
        <v>1.7250000000000001</v>
      </c>
      <c r="M42" s="16">
        <v>8.5609999999999999</v>
      </c>
      <c r="N42" s="16">
        <v>364.63900000000001</v>
      </c>
      <c r="O42" s="16">
        <v>417.17599999999999</v>
      </c>
      <c r="P42" s="16">
        <v>119.157</v>
      </c>
      <c r="Q42" s="16">
        <v>8.7199999999999989</v>
      </c>
      <c r="R42" s="16">
        <v>0.81499999999999995</v>
      </c>
      <c r="S42" s="16">
        <v>14.51</v>
      </c>
    </row>
    <row r="43" spans="1:19" x14ac:dyDescent="0.2">
      <c r="A43" s="14"/>
      <c r="B43" s="14">
        <v>22</v>
      </c>
      <c r="C43" s="16">
        <v>58.018000000000001</v>
      </c>
      <c r="D43" s="16">
        <v>46</v>
      </c>
      <c r="E43" s="16">
        <v>42.637999999999998</v>
      </c>
      <c r="F43" s="16">
        <v>317.20000000000005</v>
      </c>
      <c r="G43" s="16">
        <v>189.9</v>
      </c>
      <c r="H43" s="16">
        <v>1837.1</v>
      </c>
      <c r="I43" s="16">
        <v>1274.02</v>
      </c>
      <c r="J43" s="16">
        <v>1.37</v>
      </c>
      <c r="K43" s="16">
        <v>103.68</v>
      </c>
      <c r="L43" s="16">
        <v>2.1470000000000002</v>
      </c>
      <c r="M43" s="16">
        <v>16.552000000000003</v>
      </c>
      <c r="N43" s="16">
        <v>489.93000000000006</v>
      </c>
      <c r="O43" s="16">
        <v>897.74399999999991</v>
      </c>
      <c r="P43" s="16">
        <v>185.31100000000001</v>
      </c>
      <c r="Q43" s="16">
        <v>12.871</v>
      </c>
      <c r="R43" s="16">
        <v>0.67999999999999994</v>
      </c>
      <c r="S43" s="16">
        <v>75.03</v>
      </c>
    </row>
    <row r="44" spans="1:19" x14ac:dyDescent="0.2">
      <c r="A44" s="14"/>
      <c r="B44" s="14">
        <v>23</v>
      </c>
      <c r="C44" s="16">
        <v>35.691999999999993</v>
      </c>
      <c r="D44" s="16">
        <v>31.18</v>
      </c>
      <c r="E44" s="16">
        <v>34.298000000000002</v>
      </c>
      <c r="F44" s="16">
        <v>216.66</v>
      </c>
      <c r="G44" s="16">
        <v>142.72399999999999</v>
      </c>
      <c r="H44" s="16">
        <v>1322.75</v>
      </c>
      <c r="I44" s="16">
        <v>1026.9839999999999</v>
      </c>
      <c r="J44" s="16">
        <v>0.61899999999999999</v>
      </c>
      <c r="K44" s="16">
        <v>62.401000000000003</v>
      </c>
      <c r="L44" s="16">
        <v>2.1349999999999998</v>
      </c>
      <c r="M44" s="16">
        <v>5.1059999999999999</v>
      </c>
      <c r="N44" s="16">
        <v>424.31400000000002</v>
      </c>
      <c r="O44" s="16">
        <v>590.41599999999994</v>
      </c>
      <c r="P44" s="16">
        <v>131.792</v>
      </c>
      <c r="Q44" s="16">
        <v>5.4350000000000005</v>
      </c>
      <c r="R44" s="16">
        <v>0.65</v>
      </c>
      <c r="S44" s="16">
        <v>50.87</v>
      </c>
    </row>
    <row r="45" spans="1:19" x14ac:dyDescent="0.2">
      <c r="A45" s="14"/>
      <c r="B45" s="14">
        <v>24</v>
      </c>
      <c r="C45" s="16">
        <v>58.695999999999998</v>
      </c>
      <c r="D45" s="16">
        <v>70</v>
      </c>
      <c r="E45" s="16">
        <v>37.658000000000001</v>
      </c>
      <c r="F45" s="16">
        <v>178.82</v>
      </c>
      <c r="G45" s="16">
        <v>144.12700000000001</v>
      </c>
      <c r="H45" s="16">
        <v>1461.7</v>
      </c>
      <c r="I45" s="16">
        <v>1133.1975</v>
      </c>
      <c r="J45" s="16">
        <v>22.093499999999999</v>
      </c>
      <c r="K45" s="16">
        <v>47.363</v>
      </c>
      <c r="L45" s="16">
        <v>24.241</v>
      </c>
      <c r="M45" s="16">
        <v>6.8569999999999993</v>
      </c>
      <c r="N45" s="16">
        <v>434.40899999999999</v>
      </c>
      <c r="O45" s="16">
        <v>634.93100000000004</v>
      </c>
      <c r="P45" s="16">
        <v>158.45699999999999</v>
      </c>
      <c r="Q45" s="16">
        <v>13.6858</v>
      </c>
      <c r="R45" s="16">
        <v>0.76500000000000001</v>
      </c>
      <c r="S45" s="16">
        <v>29.11</v>
      </c>
    </row>
    <row r="46" spans="1:19" x14ac:dyDescent="0.2">
      <c r="A46" s="14" t="s">
        <v>94</v>
      </c>
      <c r="B46" s="14"/>
      <c r="C46" s="16">
        <f>SUM(C40:C45)</f>
        <v>295.37400000000002</v>
      </c>
      <c r="D46" s="16"/>
      <c r="E46" s="16">
        <f t="shared" ref="E46:S46" si="6">SUM(E40:E45)</f>
        <v>236.673</v>
      </c>
      <c r="F46" s="16"/>
      <c r="G46" s="16">
        <f t="shared" si="6"/>
        <v>964.86599999999999</v>
      </c>
      <c r="H46" s="16"/>
      <c r="I46" s="17">
        <f t="shared" si="6"/>
        <v>6677.8090000000011</v>
      </c>
      <c r="J46" s="16">
        <f t="shared" si="6"/>
        <v>27.170999999999999</v>
      </c>
      <c r="K46" s="17">
        <f t="shared" si="6"/>
        <v>510.13100000000003</v>
      </c>
      <c r="L46" s="16">
        <f t="shared" si="6"/>
        <v>31.491</v>
      </c>
      <c r="M46" s="16">
        <f t="shared" si="6"/>
        <v>46.06600000000001</v>
      </c>
      <c r="N46" s="17">
        <f t="shared" si="6"/>
        <v>2487.6260000000002</v>
      </c>
      <c r="O46" s="17">
        <f t="shared" si="6"/>
        <v>3750.2019999999998</v>
      </c>
      <c r="P46" s="16">
        <f t="shared" si="6"/>
        <v>944.93399999999997</v>
      </c>
      <c r="Q46" s="16">
        <f t="shared" si="6"/>
        <v>60.28</v>
      </c>
      <c r="R46" s="16">
        <f t="shared" si="6"/>
        <v>4.6269999999999998</v>
      </c>
      <c r="S46" s="16">
        <f t="shared" si="6"/>
        <v>233.75</v>
      </c>
    </row>
    <row r="47" spans="1:19" ht="15" x14ac:dyDescent="0.25">
      <c r="A47" s="14" t="s">
        <v>95</v>
      </c>
      <c r="B47" s="14"/>
      <c r="C47" s="18">
        <f>C46/6</f>
        <v>49.229000000000006</v>
      </c>
      <c r="D47" s="18"/>
      <c r="E47" s="16">
        <f t="shared" ref="E47:S47" si="7">E46/6</f>
        <v>39.445500000000003</v>
      </c>
      <c r="F47" s="16"/>
      <c r="G47" s="18">
        <f t="shared" si="7"/>
        <v>160.81100000000001</v>
      </c>
      <c r="H47" s="18"/>
      <c r="I47" s="17">
        <f t="shared" si="7"/>
        <v>1112.9681666666668</v>
      </c>
      <c r="J47" s="18">
        <f t="shared" si="7"/>
        <v>4.5285000000000002</v>
      </c>
      <c r="K47" s="19">
        <f t="shared" si="7"/>
        <v>85.021833333333333</v>
      </c>
      <c r="L47" s="18">
        <f t="shared" si="7"/>
        <v>5.2484999999999999</v>
      </c>
      <c r="M47" s="18">
        <f t="shared" si="7"/>
        <v>7.677666666666668</v>
      </c>
      <c r="N47" s="19">
        <f t="shared" si="7"/>
        <v>414.60433333333339</v>
      </c>
      <c r="O47" s="19">
        <f t="shared" si="7"/>
        <v>625.03366666666659</v>
      </c>
      <c r="P47" s="18">
        <f t="shared" si="7"/>
        <v>157.489</v>
      </c>
      <c r="Q47" s="18">
        <f t="shared" si="7"/>
        <v>10.046666666666667</v>
      </c>
      <c r="R47" s="18">
        <f t="shared" si="7"/>
        <v>0.77116666666666667</v>
      </c>
      <c r="S47" s="18">
        <f t="shared" si="7"/>
        <v>38.958333333333336</v>
      </c>
    </row>
    <row r="48" spans="1:19" hidden="1" x14ac:dyDescent="0.2">
      <c r="A48" s="25" t="s">
        <v>104</v>
      </c>
      <c r="B48" s="25"/>
      <c r="C48" s="26">
        <f>77*60/100</f>
        <v>46.2</v>
      </c>
      <c r="D48" s="26"/>
      <c r="E48" s="26">
        <f>79*60/100</f>
        <v>47.4</v>
      </c>
      <c r="F48" s="26"/>
      <c r="G48" s="26">
        <f>335*60/100</f>
        <v>201</v>
      </c>
      <c r="H48" s="26"/>
      <c r="I48" s="27">
        <f>2350*60/100</f>
        <v>1410</v>
      </c>
      <c r="J48" s="26">
        <f>1.2*60/100</f>
        <v>0.72</v>
      </c>
      <c r="K48" s="27">
        <f>60*60/100</f>
        <v>36</v>
      </c>
      <c r="L48" s="26">
        <f>0.7*60/100</f>
        <v>0.42</v>
      </c>
      <c r="M48" s="26">
        <f>10*60/100</f>
        <v>6</v>
      </c>
      <c r="N48" s="27">
        <f>1100*60/100</f>
        <v>660</v>
      </c>
      <c r="O48" s="27">
        <f>1650*60/100</f>
        <v>990</v>
      </c>
      <c r="P48" s="26">
        <f>250*60/100</f>
        <v>150</v>
      </c>
      <c r="Q48" s="26">
        <f>12*60/100</f>
        <v>7.2</v>
      </c>
      <c r="R48" s="28"/>
      <c r="S48" s="33"/>
    </row>
    <row r="49" spans="1:19" x14ac:dyDescent="0.2">
      <c r="A49" s="20" t="s">
        <v>97</v>
      </c>
      <c r="B49" s="20"/>
      <c r="C49" s="21">
        <f>90*60/100</f>
        <v>54</v>
      </c>
      <c r="D49" s="21"/>
      <c r="E49" s="21">
        <f>92*60/100</f>
        <v>55.2</v>
      </c>
      <c r="F49" s="21"/>
      <c r="G49" s="21">
        <f>383*60/100</f>
        <v>229.8</v>
      </c>
      <c r="H49" s="21"/>
      <c r="I49" s="22">
        <f>2713*60/100</f>
        <v>1627.8</v>
      </c>
      <c r="J49" s="21">
        <f>1.4*60/100</f>
        <v>0.84</v>
      </c>
      <c r="K49" s="22">
        <f>70*60/100</f>
        <v>42</v>
      </c>
      <c r="L49" s="21">
        <f>0.9*60/100</f>
        <v>0.54</v>
      </c>
      <c r="M49" s="21">
        <f>12*60/100</f>
        <v>7.2</v>
      </c>
      <c r="N49" s="22">
        <f>1200*60/100</f>
        <v>720</v>
      </c>
      <c r="O49" s="22">
        <f>1800*60/100</f>
        <v>1080</v>
      </c>
      <c r="P49" s="21">
        <f>300*60/100</f>
        <v>180</v>
      </c>
      <c r="Q49" s="21">
        <f>17*60/100</f>
        <v>10.199999999999999</v>
      </c>
      <c r="R49" s="34">
        <v>1.1200000000000001</v>
      </c>
      <c r="S49" s="34">
        <v>84</v>
      </c>
    </row>
    <row r="50" spans="1:19" x14ac:dyDescent="0.2">
      <c r="A50" s="20" t="s">
        <v>155</v>
      </c>
      <c r="B50" s="20"/>
      <c r="C50" s="21">
        <f>90*50/100</f>
        <v>45</v>
      </c>
      <c r="D50" s="21"/>
      <c r="E50" s="21">
        <f>92*50/100</f>
        <v>46</v>
      </c>
      <c r="F50" s="21"/>
      <c r="G50" s="21">
        <f>383*50/100</f>
        <v>191.5</v>
      </c>
      <c r="H50" s="21"/>
      <c r="I50" s="22">
        <f>2713*50/100</f>
        <v>1356.5</v>
      </c>
      <c r="J50" s="21">
        <f>1.4*50/100</f>
        <v>0.7</v>
      </c>
      <c r="K50" s="22">
        <f>70*50/100</f>
        <v>35</v>
      </c>
      <c r="L50" s="21">
        <f>0.9*50/100</f>
        <v>0.45</v>
      </c>
      <c r="M50" s="21">
        <f>12*50/100</f>
        <v>6</v>
      </c>
      <c r="N50" s="22">
        <f>1200*50/100</f>
        <v>600</v>
      </c>
      <c r="O50" s="22">
        <f>1800*50/100</f>
        <v>900</v>
      </c>
      <c r="P50" s="21">
        <f>300*50/100</f>
        <v>150</v>
      </c>
      <c r="Q50" s="21">
        <f>17*50/100</f>
        <v>8.5</v>
      </c>
      <c r="R50" s="34">
        <v>0.96</v>
      </c>
      <c r="S50" s="34">
        <v>72</v>
      </c>
    </row>
    <row r="51" spans="1:19" ht="15" x14ac:dyDescent="0.25">
      <c r="A51" s="20" t="s">
        <v>98</v>
      </c>
      <c r="B51" s="20"/>
      <c r="C51" s="21">
        <f>C48/C48</f>
        <v>1</v>
      </c>
      <c r="D51" s="21"/>
      <c r="E51" s="21">
        <f>E48/C48</f>
        <v>1.025974025974026</v>
      </c>
      <c r="F51" s="21"/>
      <c r="G51" s="21">
        <f>G48/C48</f>
        <v>4.3506493506493502</v>
      </c>
      <c r="H51" s="21"/>
      <c r="I51" s="22"/>
      <c r="J51" s="21"/>
      <c r="K51" s="22"/>
      <c r="L51" s="21"/>
      <c r="M51" s="21"/>
      <c r="N51" s="22">
        <f>N48/N48</f>
        <v>1</v>
      </c>
      <c r="O51" s="23">
        <f>O48/N48</f>
        <v>1.5</v>
      </c>
      <c r="P51" s="21"/>
      <c r="Q51" s="21"/>
      <c r="R51" s="7"/>
      <c r="S51" s="7"/>
    </row>
    <row r="52" spans="1:19" x14ac:dyDescent="0.2">
      <c r="A52" s="24" t="s">
        <v>102</v>
      </c>
      <c r="B52" s="14"/>
      <c r="C52" s="16">
        <f>C10+C22+C34+C46</f>
        <v>1062.1500000000001</v>
      </c>
      <c r="D52" s="16"/>
      <c r="E52" s="16">
        <f t="shared" ref="E52:S52" si="8">E10+E22+E34+E46</f>
        <v>897.47</v>
      </c>
      <c r="F52" s="16"/>
      <c r="G52" s="16">
        <f t="shared" si="8"/>
        <v>3826.194</v>
      </c>
      <c r="H52" s="16"/>
      <c r="I52" s="17">
        <f t="shared" si="8"/>
        <v>26947.1505</v>
      </c>
      <c r="J52" s="16">
        <f t="shared" si="8"/>
        <v>106.76749999999998</v>
      </c>
      <c r="K52" s="17">
        <f t="shared" si="8"/>
        <v>2394.8599999999997</v>
      </c>
      <c r="L52" s="16">
        <f t="shared" si="8"/>
        <v>130.330716</v>
      </c>
      <c r="M52" s="16">
        <f t="shared" si="8"/>
        <v>217.47319999999999</v>
      </c>
      <c r="N52" s="17">
        <f t="shared" si="8"/>
        <v>10109.626</v>
      </c>
      <c r="O52" s="17">
        <f t="shared" si="8"/>
        <v>15537.569</v>
      </c>
      <c r="P52" s="16">
        <f t="shared" si="8"/>
        <v>4386.8890000000001</v>
      </c>
      <c r="Q52" s="16">
        <f t="shared" si="8"/>
        <v>262.36199999999997</v>
      </c>
      <c r="R52" s="16">
        <f t="shared" si="8"/>
        <v>20.505000000000003</v>
      </c>
      <c r="S52" s="16">
        <f t="shared" si="8"/>
        <v>738.78</v>
      </c>
    </row>
    <row r="53" spans="1:19" ht="15" x14ac:dyDescent="0.25">
      <c r="A53" s="14"/>
      <c r="B53" s="14"/>
      <c r="C53" s="16">
        <f>C52/24</f>
        <v>44.256250000000001</v>
      </c>
      <c r="D53" s="16"/>
      <c r="E53" s="18">
        <f t="shared" ref="E53:S53" si="9">E52/24</f>
        <v>37.394583333333337</v>
      </c>
      <c r="F53" s="18"/>
      <c r="G53" s="18">
        <f t="shared" si="9"/>
        <v>159.42474999999999</v>
      </c>
      <c r="H53" s="18"/>
      <c r="I53" s="17">
        <f t="shared" si="9"/>
        <v>1122.7979375</v>
      </c>
      <c r="J53" s="18">
        <f t="shared" si="9"/>
        <v>4.448645833333333</v>
      </c>
      <c r="K53" s="17">
        <f t="shared" si="9"/>
        <v>99.785833333333315</v>
      </c>
      <c r="L53" s="18">
        <f t="shared" si="9"/>
        <v>5.4304464999999995</v>
      </c>
      <c r="M53" s="16">
        <f t="shared" si="9"/>
        <v>9.0613833333333336</v>
      </c>
      <c r="N53" s="19">
        <f t="shared" si="9"/>
        <v>421.23441666666668</v>
      </c>
      <c r="O53" s="19">
        <f t="shared" si="9"/>
        <v>647.39870833333327</v>
      </c>
      <c r="P53" s="18">
        <f t="shared" si="9"/>
        <v>182.78704166666668</v>
      </c>
      <c r="Q53" s="18">
        <f t="shared" si="9"/>
        <v>10.931749999999999</v>
      </c>
      <c r="R53" s="18">
        <f t="shared" si="9"/>
        <v>0.85437500000000011</v>
      </c>
      <c r="S53" s="18">
        <f t="shared" si="9"/>
        <v>30.782499999999999</v>
      </c>
    </row>
    <row r="54" spans="1:19" x14ac:dyDescent="0.2">
      <c r="A54" s="20" t="s">
        <v>97</v>
      </c>
      <c r="B54" s="20"/>
      <c r="C54" s="21">
        <f>90*60/100</f>
        <v>54</v>
      </c>
      <c r="D54" s="21"/>
      <c r="E54" s="21">
        <f>92*60/100</f>
        <v>55.2</v>
      </c>
      <c r="F54" s="21"/>
      <c r="G54" s="21">
        <f>383*60/100</f>
        <v>229.8</v>
      </c>
      <c r="H54" s="21"/>
      <c r="I54" s="22">
        <f>2713*60/100</f>
        <v>1627.8</v>
      </c>
      <c r="J54" s="21">
        <f>1.4*60/100</f>
        <v>0.84</v>
      </c>
      <c r="K54" s="22">
        <f>70*60/100</f>
        <v>42</v>
      </c>
      <c r="L54" s="21">
        <f>0.9*60/100</f>
        <v>0.54</v>
      </c>
      <c r="M54" s="21">
        <f>12*60/100</f>
        <v>7.2</v>
      </c>
      <c r="N54" s="22">
        <f>1200*60/100</f>
        <v>720</v>
      </c>
      <c r="O54" s="22">
        <f>1800*60/100</f>
        <v>1080</v>
      </c>
      <c r="P54" s="21">
        <f>300*60/100</f>
        <v>180</v>
      </c>
      <c r="Q54" s="21">
        <f>17*60/100</f>
        <v>10.199999999999999</v>
      </c>
      <c r="R54" s="34">
        <v>1.1200000000000001</v>
      </c>
      <c r="S54" s="34">
        <v>84</v>
      </c>
    </row>
    <row r="55" spans="1:19" x14ac:dyDescent="0.2">
      <c r="A55" s="20" t="s">
        <v>155</v>
      </c>
      <c r="B55" s="20"/>
      <c r="C55" s="21">
        <f>90*50/100</f>
        <v>45</v>
      </c>
      <c r="D55" s="21"/>
      <c r="E55" s="21">
        <f>92*50/100</f>
        <v>46</v>
      </c>
      <c r="F55" s="21"/>
      <c r="G55" s="21">
        <f>383*50/100</f>
        <v>191.5</v>
      </c>
      <c r="H55" s="21"/>
      <c r="I55" s="22">
        <f>2713*50/100</f>
        <v>1356.5</v>
      </c>
      <c r="J55" s="21">
        <f>1.4*50/100</f>
        <v>0.7</v>
      </c>
      <c r="K55" s="22">
        <f>70*50/100</f>
        <v>35</v>
      </c>
      <c r="L55" s="21">
        <f>0.9*50/100</f>
        <v>0.45</v>
      </c>
      <c r="M55" s="21">
        <f>12*50/100</f>
        <v>6</v>
      </c>
      <c r="N55" s="22">
        <f>1200*50/100</f>
        <v>600</v>
      </c>
      <c r="O55" s="22">
        <f>1800*50/100</f>
        <v>900</v>
      </c>
      <c r="P55" s="21">
        <f>300*50/100</f>
        <v>150</v>
      </c>
      <c r="Q55" s="21">
        <f>17*50/100</f>
        <v>8.5</v>
      </c>
      <c r="R55" s="34">
        <v>0.96</v>
      </c>
      <c r="S55" s="34">
        <v>72</v>
      </c>
    </row>
    <row r="56" spans="1:19" ht="15" x14ac:dyDescent="0.25">
      <c r="A56" s="20" t="s">
        <v>98</v>
      </c>
      <c r="B56" s="20"/>
      <c r="C56" s="21">
        <f>C53/C53</f>
        <v>1</v>
      </c>
      <c r="D56" s="21"/>
      <c r="E56" s="21">
        <f>E53/C53</f>
        <v>0.84495598550110629</v>
      </c>
      <c r="F56" s="21"/>
      <c r="G56" s="21">
        <f>G53/C53</f>
        <v>3.6023104081344441</v>
      </c>
      <c r="H56" s="21"/>
      <c r="I56" s="22"/>
      <c r="J56" s="21"/>
      <c r="K56" s="22"/>
      <c r="L56" s="21"/>
      <c r="M56" s="21"/>
      <c r="N56" s="22">
        <f>N53/N53</f>
        <v>1</v>
      </c>
      <c r="O56" s="23">
        <f>O53/N53</f>
        <v>1.5369083881045646</v>
      </c>
      <c r="P56" s="21"/>
      <c r="Q56" s="21"/>
      <c r="R56" s="7"/>
      <c r="S56" s="7"/>
    </row>
  </sheetData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Комплекс 1 </vt:lpstr>
      <vt:lpstr>Комплекс 2</vt:lpstr>
      <vt:lpstr>Оценочная1</vt:lpstr>
      <vt:lpstr>Оценочная2</vt:lpstr>
      <vt:lpstr>Лист1</vt:lpstr>
      <vt:lpstr>Лист2</vt:lpstr>
      <vt:lpstr>'Комплекс 1 '!Область_печати</vt:lpstr>
      <vt:lpstr>'Комплекс 2'!Область_печати</vt:lpstr>
    </vt:vector>
  </TitlesOfParts>
  <Company>SVA-S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u.kruk</dc:creator>
  <cp:lastModifiedBy>1</cp:lastModifiedBy>
  <cp:lastPrinted>2012-12-07T07:24:13Z</cp:lastPrinted>
  <dcterms:created xsi:type="dcterms:W3CDTF">2011-02-24T05:39:28Z</dcterms:created>
  <dcterms:modified xsi:type="dcterms:W3CDTF">2012-12-20T10:53:26Z</dcterms:modified>
</cp:coreProperties>
</file>